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8700" tabRatio="779" activeTab="0"/>
  </bookViews>
  <sheets>
    <sheet name="Highlights" sheetId="1" r:id="rId1"/>
    <sheet name="Financial Highlights - group" sheetId="2" r:id="rId2"/>
    <sheet name="Financial Highlights - cont ops" sheetId="3" r:id="rId3"/>
    <sheet name="Balance Sheet" sheetId="4" r:id="rId4"/>
    <sheet name="Income Statement" sheetId="5" r:id="rId5"/>
    <sheet name="Cash Flow" sheetId="6" r:id="rId6"/>
    <sheet name="Changes in Equity" sheetId="7" r:id="rId7"/>
    <sheet name="Operational Segmental BS" sheetId="8" r:id="rId8"/>
    <sheet name="Operational Segmental IS" sheetId="9" r:id="rId9"/>
    <sheet name="Segmental Analysis" sheetId="10" r:id="rId10"/>
    <sheet name="Notes" sheetId="11" r:id="rId11"/>
    <sheet name="Commentary" sheetId="12" r:id="rId12"/>
    <sheet name="Defns &amp; Contacts" sheetId="13" r:id="rId13"/>
  </sheets>
  <externalReferences>
    <externalReference r:id="rId16"/>
  </externalReferences>
  <definedNames>
    <definedName name="_xlnm.Print_Area" localSheetId="5">'Cash Flow'!$A$1:$F$158</definedName>
    <definedName name="_xlnm.Print_Area" localSheetId="0">'Highlights'!$A$1:$E$33</definedName>
    <definedName name="_xlnm.Print_Area" localSheetId="4">'Income Statement'!$A$1:$S$60</definedName>
    <definedName name="_xlnm.Print_Area" localSheetId="7">'Operational Segmental BS'!$A$1:$U$46</definedName>
    <definedName name="_xlnm.Print_Area" localSheetId="9">'Segmental Analysis'!$A$1:$AN$55</definedName>
    <definedName name="_xlnm.Print_Area">'Z:\Syncronised Docmuments\Year End\AFS\[Annual financial statements 2004 v2.xls]Int in Subs'!#REF!</definedName>
    <definedName name="PRINT_AREA_MI">'[1]Int in Subs'!$B$1:$R$65</definedName>
    <definedName name="_xlnm.Print_Titles" localSheetId="5">'Cash Flow'!$3:$5</definedName>
  </definedNames>
  <calcPr fullCalcOnLoad="1"/>
</workbook>
</file>

<file path=xl/sharedStrings.xml><?xml version="1.0" encoding="utf-8"?>
<sst xmlns="http://schemas.openxmlformats.org/spreadsheetml/2006/main" count="759" uniqueCount="452">
  <si>
    <t xml:space="preserve">The retail pharmacy environment came under intense pressure following the introduction of the medicine pricing regulations </t>
  </si>
  <si>
    <t>which capped the dispensing fee levied by pharmacists. New Clicks challenged the new legislation in court, and litigation continues.</t>
  </si>
  <si>
    <t>Capital management</t>
  </si>
  <si>
    <t>Prospects</t>
  </si>
  <si>
    <t xml:space="preserve">Despite trading in a deflationary environment, the group remains committed to the strategy and value proposition of the Clicks </t>
  </si>
  <si>
    <t xml:space="preserve">brand. Steps have been taken to address shrinkage and the short-term decline in sales. The turnover growth trend has been </t>
  </si>
  <si>
    <t>restored, with sales for the first seven weeks of the new financial year increasing by 11.0% over the corresponding period last year.</t>
  </si>
  <si>
    <t xml:space="preserve">The outlook for the other retail brands is encouraging, with improved performances expected from Discom, the Entertainment </t>
  </si>
  <si>
    <t>division and The Body Shop.</t>
  </si>
  <si>
    <t>NUPD is well-positioned to increase volumes and capitalise on rationalisation in the pharmaceutical market.</t>
  </si>
  <si>
    <t>The group remains committed to improving expense control and focusing on stock distribution and financial management systems.</t>
  </si>
  <si>
    <t>• New Clicks Holdings increased group headline earnings by 22.3% to R271 million, with diluted headline earnings per share showing</t>
  </si>
  <si>
    <t xml:space="preserve">   a 15.5% increase to 74.5 cents per share.</t>
  </si>
  <si>
    <t>• The ongoing uncertainty around the implementation of the medicine pricing regulations and single exit pricing has resulted in the</t>
  </si>
  <si>
    <t xml:space="preserve">   group writing off the goodwill of R258 million relating to the acquisition of Purchase Milton &amp; Associates (“PM&amp;A”).</t>
  </si>
  <si>
    <t>The group’s core retail brands have underperformed management’s expectations in the second half of the year, impacted by an</t>
  </si>
  <si>
    <t>increasingly challenging FMCG retail market and the deflationary environment.</t>
  </si>
  <si>
    <t>Turnover in the core Clicks brand increased by 9% for the year. Turnover for August in the previous financial year was boosted by</t>
  </si>
  <si>
    <t>the Clicks 35th birthday promotion and the same level of growth was not repeated this year. The brand also experienced higher</t>
  </si>
  <si>
    <t>than expected shrinkage, mainly in cellular airtime. Higher margin homewares merchandise continue to grow satisfactorily.</t>
  </si>
  <si>
    <t>The Entertainment division, comprising Musica and CD Wherehouse, recorded strong growth in the second half of the year through</t>
  </si>
  <si>
    <t>an aggressive promotional strategy, and increased turnover for the year by 12.8%. However, operating profit for the year was</t>
  </si>
  <si>
    <t>down 19.8% to R20.6 million mainly as a result of the poor first half results. The repositioning to a broader entertainment offering</t>
  </si>
  <si>
    <t>is realising benefits and sales of DVDs, gaming and lifestyle merchandise have increased from 11.3% to 18.2% of turnover.</t>
  </si>
  <si>
    <t>performance in the second half of the year reversing the profit growth of the first six months. The brand was impacted by high</t>
  </si>
  <si>
    <t>expense growth relating mainly to new stores and marketing costs. Stock turn continues to improve.</t>
  </si>
  <si>
    <t>During the second half of the year, 21 PM&amp;A stores were converted to the Clicks brand, including the opening of dispensaries in</t>
  </si>
  <si>
    <t>three large format Clicks stores. Turnover in the large format stores has been encouraging and supports the business model that</t>
  </si>
  <si>
    <t>both front and back shop sales will increase once a dispensary is introduced into a Clicks store.</t>
  </si>
  <si>
    <t>During the year the group initiated a share repurchase programme, buying back 13 million shares for R99.5 million at an average</t>
  </si>
  <si>
    <t>The group continues to integrate the pharmacy offering into the larger format Clicks stores and, based on the performance of the</t>
  </si>
  <si>
    <t>stores that have been converted to date, the prospects for increased turnover in both the front shop and the dispensary are positive.</t>
  </si>
  <si>
    <t>Interest (paid)/received - normal operations</t>
  </si>
  <si>
    <t>Loss/(profit) on disposal of property, plant &amp; equipment</t>
  </si>
  <si>
    <t>Intragroup Elimination</t>
  </si>
  <si>
    <t>Intragroup elimination</t>
  </si>
  <si>
    <t>Loss for the year</t>
  </si>
  <si>
    <t xml:space="preserve">•  </t>
  </si>
  <si>
    <t>Year to</t>
  </si>
  <si>
    <t>Income Statement</t>
  </si>
  <si>
    <t>Turnover</t>
  </si>
  <si>
    <t>R'000</t>
  </si>
  <si>
    <t>Operating profit</t>
  </si>
  <si>
    <t>Headline earnings</t>
  </si>
  <si>
    <t>Balance Sheet</t>
  </si>
  <si>
    <t>Ordinary shareholders' interest</t>
  </si>
  <si>
    <t>Total assets</t>
  </si>
  <si>
    <t>Cash Flow</t>
  </si>
  <si>
    <t>Net interest paid</t>
  </si>
  <si>
    <t>Performance</t>
  </si>
  <si>
    <t>Turnover growth</t>
  </si>
  <si>
    <t>%</t>
  </si>
  <si>
    <t>Operating profit margin</t>
  </si>
  <si>
    <t>Asset turn</t>
  </si>
  <si>
    <t>times</t>
  </si>
  <si>
    <t>Return on total assets</t>
  </si>
  <si>
    <t>Return on shareholders' interest</t>
  </si>
  <si>
    <t>Statistics</t>
  </si>
  <si>
    <t>Number of permanent employees</t>
  </si>
  <si>
    <t>Number of stores</t>
  </si>
  <si>
    <t>- company owned</t>
  </si>
  <si>
    <t>- franchised</t>
  </si>
  <si>
    <t>'000</t>
  </si>
  <si>
    <t>Headline earnings per share</t>
  </si>
  <si>
    <t>- undiluted</t>
  </si>
  <si>
    <t>cents</t>
  </si>
  <si>
    <t>- diluted</t>
  </si>
  <si>
    <t>Distribution per share</t>
  </si>
  <si>
    <t>Distribution cover</t>
  </si>
  <si>
    <t>Share price</t>
  </si>
  <si>
    <t>- closing</t>
  </si>
  <si>
    <t>- high</t>
  </si>
  <si>
    <t>- low</t>
  </si>
  <si>
    <t>Net asset value per share</t>
  </si>
  <si>
    <t>Market capitalisation</t>
  </si>
  <si>
    <t>Price earnings ratio</t>
  </si>
  <si>
    <t>Percentage of shares traded</t>
  </si>
  <si>
    <t>Cost of merchandise</t>
  </si>
  <si>
    <t>Occupancy costs</t>
  </si>
  <si>
    <t>Employment costs</t>
  </si>
  <si>
    <t>Other operating costs</t>
  </si>
  <si>
    <t>Provision against interest accrued - PM&amp;A</t>
  </si>
  <si>
    <t>Profit before taxation</t>
  </si>
  <si>
    <t>Total</t>
  </si>
  <si>
    <t>2003</t>
  </si>
  <si>
    <t>Taxation</t>
  </si>
  <si>
    <t>DEFINITIONS</t>
  </si>
  <si>
    <t>Diluted headline earnings per share</t>
  </si>
  <si>
    <t>The number of shares traded as a percentage of the weighted number of shares in issue.</t>
  </si>
  <si>
    <t>CONTACTS</t>
  </si>
  <si>
    <t>Tel</t>
  </si>
  <si>
    <t>Cell</t>
  </si>
  <si>
    <t>Email</t>
  </si>
  <si>
    <t>Don Bowden</t>
  </si>
  <si>
    <t>Sue Hemp</t>
  </si>
  <si>
    <t>Graeme Lillie</t>
  </si>
  <si>
    <t>Assets</t>
  </si>
  <si>
    <t>Non-current assets</t>
  </si>
  <si>
    <t>Goodwill</t>
  </si>
  <si>
    <t>Loans</t>
  </si>
  <si>
    <t>Current assets</t>
  </si>
  <si>
    <t>Inventories</t>
  </si>
  <si>
    <t>Accounts receivable</t>
  </si>
  <si>
    <t>Cash</t>
  </si>
  <si>
    <t>Capital and reserves</t>
  </si>
  <si>
    <t>Ordinary share capital</t>
  </si>
  <si>
    <t>Share premium</t>
  </si>
  <si>
    <t>Non-distributable reserve</t>
  </si>
  <si>
    <t>Distributable reserves</t>
  </si>
  <si>
    <t>Non-current liabilities</t>
  </si>
  <si>
    <t>Long-term liabilities</t>
  </si>
  <si>
    <t>Current liabilities</t>
  </si>
  <si>
    <t>Accounts payable</t>
  </si>
  <si>
    <t>Short-term borrowings</t>
  </si>
  <si>
    <t>Taxation payable</t>
  </si>
  <si>
    <t>Weighted annual sales per m²</t>
  </si>
  <si>
    <t>m²</t>
  </si>
  <si>
    <t>R</t>
  </si>
  <si>
    <t>Trading area</t>
  </si>
  <si>
    <t>Share</t>
  </si>
  <si>
    <t>capital</t>
  </si>
  <si>
    <t>premium</t>
  </si>
  <si>
    <t>reserve</t>
  </si>
  <si>
    <t>Distributable</t>
  </si>
  <si>
    <t>Non-</t>
  </si>
  <si>
    <t>distributable</t>
  </si>
  <si>
    <t>Number of</t>
  </si>
  <si>
    <t>shares ('000)</t>
  </si>
  <si>
    <t>Balance at 31 August 2002</t>
  </si>
  <si>
    <t>Foreign currency translation reserve</t>
  </si>
  <si>
    <t>Share statistics</t>
  </si>
  <si>
    <t>Cash generated by operations</t>
  </si>
  <si>
    <t>Taxation paid</t>
  </si>
  <si>
    <t>Cash inflow from operating activities</t>
  </si>
  <si>
    <t>Distributions to ordinary shareholders</t>
  </si>
  <si>
    <t>Proceeds on disposal of property, plant &amp; equipment</t>
  </si>
  <si>
    <t>Increase in loans</t>
  </si>
  <si>
    <t>Shareholders' funds raised</t>
  </si>
  <si>
    <t>Long-term borrowings - repaid</t>
  </si>
  <si>
    <t>Adjustment for foreign exchange fluctuation</t>
  </si>
  <si>
    <t>Cash &amp; cash equivalents at beginning of period</t>
  </si>
  <si>
    <t>Clicks</t>
  </si>
  <si>
    <t>Discom</t>
  </si>
  <si>
    <t>Intercare</t>
  </si>
  <si>
    <t>Volume of shares traded</t>
  </si>
  <si>
    <t>Weighted average number of shares in issue</t>
  </si>
  <si>
    <t>Weighted average diluted number of shares in issue</t>
  </si>
  <si>
    <t>Net tangible asset value per share</t>
  </si>
  <si>
    <t>The Body Shop</t>
  </si>
  <si>
    <t>Other expenditure</t>
  </si>
  <si>
    <t>Gross profit</t>
  </si>
  <si>
    <t>Other revenue</t>
  </si>
  <si>
    <t>Gross profit margin</t>
  </si>
  <si>
    <t>Gross profit growth</t>
  </si>
  <si>
    <t>Shared Services</t>
  </si>
  <si>
    <t>R/A$</t>
  </si>
  <si>
    <t>As at</t>
  </si>
  <si>
    <t>Net cash effects of operating activities</t>
  </si>
  <si>
    <t>Net cash effects of financing activities</t>
  </si>
  <si>
    <t>Taxation prepaid</t>
  </si>
  <si>
    <t>CONSOLIDATED BALANCE SHEET</t>
  </si>
  <si>
    <t>CONSOLIDATED INCOME STATEMENT</t>
  </si>
  <si>
    <t>CONSOLIDATED CASH FLOW STATEMENT</t>
  </si>
  <si>
    <t>Deferred taxation</t>
  </si>
  <si>
    <t>Outside shareholders' interest</t>
  </si>
  <si>
    <t>Total purchase price</t>
  </si>
  <si>
    <t xml:space="preserve">Paid for by the issue of share capital  </t>
  </si>
  <si>
    <t>SOUTH AFRICAN TRADING SEGMENTAL ANALYSIS</t>
  </si>
  <si>
    <t>Exchange rate (Rand/Australian Dollar)</t>
  </si>
  <si>
    <t>Cash effects of operating activities</t>
  </si>
  <si>
    <t>Cash effects of investing activities</t>
  </si>
  <si>
    <t>Cash effects of financing activities</t>
  </si>
  <si>
    <t>Property, plant &amp; equipment</t>
  </si>
  <si>
    <t>Cash acquired on acquisition</t>
  </si>
  <si>
    <t>Weighted price earnings ratio</t>
  </si>
  <si>
    <t>Shared Services allocation</t>
  </si>
  <si>
    <t>Operating profit margin (after allocation)</t>
  </si>
  <si>
    <t>+27 (0)82 555 8721</t>
  </si>
  <si>
    <t>+27 (0)83 703 3131</t>
  </si>
  <si>
    <t>+27 (0)82 468 1507</t>
  </si>
  <si>
    <t>Turnover for the year divided by the average total assets for the year.</t>
  </si>
  <si>
    <t>Headline earnings divided by the diluted weighted average number of shares in issue for the year.</t>
  </si>
  <si>
    <t>Headline earnings for the year divided by the distributions for the year.</t>
  </si>
  <si>
    <t xml:space="preserve">Distribution per share is the actual interim cash dividend paid and the final cash dividend declared </t>
  </si>
  <si>
    <t xml:space="preserve">expressed as cents per share. </t>
  </si>
  <si>
    <t>Gross profit expressed as a percentage of turnover.</t>
  </si>
  <si>
    <t>Net profit for the year adjusted for the after tax effect of goodwill and other exceptional items.</t>
  </si>
  <si>
    <t>Headline earnings divided by the weighted average number of shares in issue for the year.</t>
  </si>
  <si>
    <t>Inventory turn</t>
  </si>
  <si>
    <t>Turnover for the year divided by closing inventory at year end.</t>
  </si>
  <si>
    <t>The market price per share at year end multiplied by the number of shares in issue at year end.</t>
  </si>
  <si>
    <t>Net assets at year end divided by the number of shares in issue at year end.</t>
  </si>
  <si>
    <t xml:space="preserve">Net assets at year end, less intangible assets such as goodwill and trademarks, divided by the </t>
  </si>
  <si>
    <t>number of shares in issue at year end.</t>
  </si>
  <si>
    <t>Operating profit expressed as a percentage of turnover.</t>
  </si>
  <si>
    <t>The market price per share at year end divided by headline earnings per share.</t>
  </si>
  <si>
    <t>Headline earnings expressed as a percentage of the average ordinary shareholders' interest for the year.</t>
  </si>
  <si>
    <t>Headline earnings expressed as a percentage of the average total assets for the year.</t>
  </si>
  <si>
    <t>Shareholders' interest</t>
  </si>
  <si>
    <t xml:space="preserve">Ordinary share capital, share premium and reserves. </t>
  </si>
  <si>
    <t>Weighted average number of shares</t>
  </si>
  <si>
    <t>Weighted average diluted number of shares</t>
  </si>
  <si>
    <t>The weighted average number of shares, adjusted for the effects of all dilutive potential ordinary shares.</t>
  </si>
  <si>
    <t>Tier 1 Investor Relations</t>
  </si>
  <si>
    <t>don@tier1ir.co.za</t>
  </si>
  <si>
    <t>sue@tier1ir.co.za</t>
  </si>
  <si>
    <t>graeme@tier1ir.co.za</t>
  </si>
  <si>
    <t>+27 (0)21 702 3173</t>
  </si>
  <si>
    <t>+27 (0)21 702 3171</t>
  </si>
  <si>
    <t>Net cash flow from operating activities</t>
  </si>
  <si>
    <t>Depreciation and amortisation</t>
  </si>
  <si>
    <t>31 August 2003</t>
  </si>
  <si>
    <t>Capital expenditure</t>
  </si>
  <si>
    <t>Comparable stores turnover growth</t>
  </si>
  <si>
    <t>- South Africa</t>
  </si>
  <si>
    <t>Deferred taxation assets</t>
  </si>
  <si>
    <t>Cash on hand</t>
  </si>
  <si>
    <t>Deferred taxation liabilities</t>
  </si>
  <si>
    <t>Total equity &amp; liabilities</t>
  </si>
  <si>
    <t>Equity &amp; liabilities</t>
  </si>
  <si>
    <t>Trademarks</t>
  </si>
  <si>
    <t>Interest paid - normal operations</t>
  </si>
  <si>
    <t>Interest accrued - Purchase Milton &amp; Associates (PM&amp;A)</t>
  </si>
  <si>
    <t>Profit on sale of stores</t>
  </si>
  <si>
    <t>Loss on disposal of property, plant &amp; equipment</t>
  </si>
  <si>
    <t>Goodwill amortised</t>
  </si>
  <si>
    <t>Profit on sale of Australian operations</t>
  </si>
  <si>
    <t>Investment in property, plant &amp; equipment to maintain &amp; expand operations</t>
  </si>
  <si>
    <t>Long-term borrowings - raised</t>
  </si>
  <si>
    <t>Cash &amp; cash equivalents at end of period</t>
  </si>
  <si>
    <t>In 2003 the group acquired New United Pharmaceutical Distributors and</t>
  </si>
  <si>
    <t>acquired a Price Attack franchise holder.  The fair value of assets acquired</t>
  </si>
  <si>
    <t>and liabilities assumed were as follows:</t>
  </si>
  <si>
    <t>Investments</t>
  </si>
  <si>
    <t>Net cash flow of acquisitions</t>
  </si>
  <si>
    <t>Shares issued in respect of options</t>
  </si>
  <si>
    <t>Capitalisation awards</t>
  </si>
  <si>
    <t>Distributions</t>
  </si>
  <si>
    <t>Acquisition of New United Pharmaceutical Distributors</t>
  </si>
  <si>
    <t>Share issue expenses written off</t>
  </si>
  <si>
    <t>Balance at 31 August 2003</t>
  </si>
  <si>
    <t>Balance sheet</t>
  </si>
  <si>
    <t>Other assets</t>
  </si>
  <si>
    <t>Income statement</t>
  </si>
  <si>
    <t>Operating profit/(loss) (before allocation)</t>
  </si>
  <si>
    <t>Operating profit/(loss) (after allocation)</t>
  </si>
  <si>
    <t>Ratios</t>
  </si>
  <si>
    <t>Product price inflation (local product only)</t>
  </si>
  <si>
    <t>Weighted trading area</t>
  </si>
  <si>
    <t>Total SA</t>
  </si>
  <si>
    <t>2004</t>
  </si>
  <si>
    <t>Profit on sale of Intercare</t>
  </si>
  <si>
    <t>Acquisition of additional goodwill</t>
  </si>
  <si>
    <t>2. Working capital changes</t>
  </si>
  <si>
    <t xml:space="preserve">   Increase in inventories</t>
  </si>
  <si>
    <t>The fair value of the assets and liabilities sold were as follows:</t>
  </si>
  <si>
    <t>Total NAV</t>
  </si>
  <si>
    <t>Deferred tax</t>
  </si>
  <si>
    <t>Total proceeds</t>
  </si>
  <si>
    <t>Cash of NCA</t>
  </si>
  <si>
    <t>Thus cash inflow as a result of sale</t>
  </si>
  <si>
    <t>Proceeds</t>
  </si>
  <si>
    <t>Cash of Intercare at date of sale</t>
  </si>
  <si>
    <t>Thus cash outflow as a result of sale</t>
  </si>
  <si>
    <t>Cash movements as a result of exchange movement</t>
  </si>
  <si>
    <t>Profit reflected in the Income Statement is calculated as follows:</t>
  </si>
  <si>
    <t>Deconsolidation entry</t>
  </si>
  <si>
    <t>Additional write offs and expenses relating to sale</t>
  </si>
  <si>
    <t>Profit on sale</t>
  </si>
  <si>
    <t>Release of FCTR &amp; accumulated earnings</t>
  </si>
  <si>
    <t>Continuing operations</t>
  </si>
  <si>
    <t>Discontinued operations</t>
  </si>
  <si>
    <t>OPERATIONAL SEGMENTAL BALANCE SHEET</t>
  </si>
  <si>
    <t>SA Retail</t>
  </si>
  <si>
    <t>Australia</t>
  </si>
  <si>
    <t>Preference share capital</t>
  </si>
  <si>
    <t>Notes to the cash flow statement</t>
  </si>
  <si>
    <t>Operating profit before working capital changes (refer note 1 below)</t>
  </si>
  <si>
    <t>Working capital changes (refer note 2 below)</t>
  </si>
  <si>
    <t>3. Acquisition of subsidiaries &amp; businesses</t>
  </si>
  <si>
    <t>Acquisition of subsidiaries &amp; businesses (refer to note 3 below)</t>
  </si>
  <si>
    <t>Cashflow on disposal of NCA (refer to note 4 below)</t>
  </si>
  <si>
    <t>4. Cashflow on disposal of NCA</t>
  </si>
  <si>
    <t>Cashflow on disposal of Intercare (refer to note 5 below)</t>
  </si>
  <si>
    <t>5. Cashflow on disposal of Intercare</t>
  </si>
  <si>
    <t>OPERATIONAL SEGMENTAL INCOME STATEMENT</t>
  </si>
  <si>
    <t>Free float</t>
  </si>
  <si>
    <t>FINANCIAL HIGHLIGHTS (continuing operations)</t>
  </si>
  <si>
    <t xml:space="preserve">Turnover from continuing operations up </t>
  </si>
  <si>
    <t xml:space="preserve">Headline earnings from continuing operations up </t>
  </si>
  <si>
    <t xml:space="preserve">Diluted headline earnings per share from continuing operations up </t>
  </si>
  <si>
    <t>Turnover up</t>
  </si>
  <si>
    <t xml:space="preserve">Headline earnings up </t>
  </si>
  <si>
    <t>Diluted headline earnings per share up</t>
  </si>
  <si>
    <t>Continuing Operations</t>
  </si>
  <si>
    <t>Group</t>
  </si>
  <si>
    <t>FINANCIAL HIGHLIGHTS (group)</t>
  </si>
  <si>
    <t>Adjustment for:</t>
  </si>
  <si>
    <t>Property, plant &amp; equipment (incl. Intangibles)</t>
  </si>
  <si>
    <t>31 August 2004</t>
  </si>
  <si>
    <t>Style Studio</t>
  </si>
  <si>
    <t>For the year to 31 August</t>
  </si>
  <si>
    <t>for the year ended 31 August 2004</t>
  </si>
  <si>
    <t>Discontinued Operations</t>
  </si>
  <si>
    <t xml:space="preserve">Group </t>
  </si>
  <si>
    <t>Goodwill impaired</t>
  </si>
  <si>
    <t>Net profit before taxation</t>
  </si>
  <si>
    <t>Impairment of fixed assets</t>
  </si>
  <si>
    <t>HEPS</t>
  </si>
  <si>
    <t xml:space="preserve"> - undiluted</t>
  </si>
  <si>
    <t xml:space="preserve"> - diluted</t>
  </si>
  <si>
    <t>EPS</t>
  </si>
  <si>
    <t>Shares in issue</t>
  </si>
  <si>
    <t>Treasury shares held</t>
  </si>
  <si>
    <t>Purchase of treasury shares</t>
  </si>
  <si>
    <t>Investment in subsidiary</t>
  </si>
  <si>
    <t>Long term liabilities</t>
  </si>
  <si>
    <t>Add back non cash flow items</t>
  </si>
  <si>
    <t>FCTR</t>
  </si>
  <si>
    <t>Long term loans</t>
  </si>
  <si>
    <t>Intergroup loans</t>
  </si>
  <si>
    <t>Net asset value</t>
  </si>
  <si>
    <t>Cost of acquisition</t>
  </si>
  <si>
    <t>Cash acquired</t>
  </si>
  <si>
    <t>Net cash inflow from acquisition</t>
  </si>
  <si>
    <t>Depreciation</t>
  </si>
  <si>
    <t>Amortisation of trademarks</t>
  </si>
  <si>
    <t xml:space="preserve">   Increase in accounts payable</t>
  </si>
  <si>
    <t xml:space="preserve">Treasury </t>
  </si>
  <si>
    <t>Shares</t>
  </si>
  <si>
    <t>Balance at 31 August 2001</t>
  </si>
  <si>
    <t>Deferred tax on write-off of intangible assets</t>
  </si>
  <si>
    <t>Profit for the year</t>
  </si>
  <si>
    <t>Foreign currency translation reserve realised</t>
  </si>
  <si>
    <t>Loans payable</t>
  </si>
  <si>
    <t>Net interest (paid)/received</t>
  </si>
  <si>
    <t>Treasury shares</t>
  </si>
  <si>
    <t>Intragroup loans</t>
  </si>
  <si>
    <t>Profit before interest and taxation</t>
  </si>
  <si>
    <t>Entertainment</t>
  </si>
  <si>
    <t xml:space="preserve">Accounting Practice, and the accounting policies used are consistent with those applicable for the 2003 annual financial </t>
  </si>
  <si>
    <t xml:space="preserve">The group previously consolidated companies that were controlled by the group. The group now consolidates all entities  </t>
  </si>
  <si>
    <t>consolidates its Share Trust.  The change was effected in order to comply with JSE Securities Exchange Listings</t>
  </si>
  <si>
    <t>Requirements and AC132 – Consolidated financial statements.  The change in policy has not been applied retrospectively</t>
  </si>
  <si>
    <t xml:space="preserve">Distribution per share </t>
  </si>
  <si>
    <t>- proposed</t>
  </si>
  <si>
    <t>REVIEWED GROUP RESULTS</t>
  </si>
  <si>
    <t>Impairment of property, plant &amp; equipment</t>
  </si>
  <si>
    <t>As at 31 August</t>
  </si>
  <si>
    <t>Cash outflow on consolidation of Share Trust</t>
  </si>
  <si>
    <t>Number of shares in issue (gross)</t>
  </si>
  <si>
    <t>Number of shares in issue (net of treasury shares)</t>
  </si>
  <si>
    <t>Treasury shares purchased</t>
  </si>
  <si>
    <t>Acquisition of Share Trust</t>
  </si>
  <si>
    <t>Market capitalisation (gross)</t>
  </si>
  <si>
    <t>Market capitalisation (net of treasury shares)</t>
  </si>
  <si>
    <t>Pharmacy</t>
  </si>
  <si>
    <t>Accounting policies</t>
  </si>
  <si>
    <t>These reviewed financial results have been prepared in accordance with South African Statements of Generally Accepted</t>
  </si>
  <si>
    <t xml:space="preserve">statements except in the case of accounting for the Share Trust.  These results have been reviewed by KPMG Inc. </t>
  </si>
  <si>
    <t>and their unqualified review report is available for inspection at the company's registered office.</t>
  </si>
  <si>
    <t>over whose financial and operating policies the group has the power to exercise control.  Consequently, the group now</t>
  </si>
  <si>
    <t xml:space="preserve">International Holdings NV ("New Clicks") had entered into an agreement to dispose of New Clicks' interest in New Clicks </t>
  </si>
  <si>
    <t xml:space="preserve">Australia (Proprietary) Limited ("NCA") to Synapse Holdings (Proprietary) Limited, a company owned by a consortium of </t>
  </si>
  <si>
    <t>The results of the NCA operations were incorporated in the New Clicks results until 31 December 2003, and have been</t>
  </si>
  <si>
    <t>disclosed separately in the income statement as discontinued operations.</t>
  </si>
  <si>
    <t xml:space="preserve">With effect from 1 March 2004 the group disposed of its 80% holding in Intercare Managed Healthcare (Proprietary) </t>
  </si>
  <si>
    <t>Change in comparatives</t>
  </si>
  <si>
    <t xml:space="preserve">An amount of R34.7 million has been reallocated from other expenses to gross profit in 2003.  This amount relates to </t>
  </si>
  <si>
    <t xml:space="preserve">An amount of R69.3 million has been reallocated from loans payable classified as non-current liabilities to loans payable </t>
  </si>
  <si>
    <t>was necessary in order to correctly reflect the maturity profile of the group’s borrowings.</t>
  </si>
  <si>
    <t>The board of directors has declared a final cash dividend of 22.5 cents per share payable on Monday, 20 December 2004 to</t>
  </si>
  <si>
    <t xml:space="preserve">shareholders recorded in the books of the company at the close of business on Friday, 17 December 2004. </t>
  </si>
  <si>
    <t>The last day to trade ("cum" the dividend) in order to participate in the dividend will be Thursday, 9 December 2004 and the</t>
  </si>
  <si>
    <t>shares will trade "ex dividend" from the commencement of business on Friday, 10 December 2004. The record date will be</t>
  </si>
  <si>
    <t>Friday, 17 December 2004.</t>
  </si>
  <si>
    <t>Share certificates may not be dematerialised or rematerialised between Friday, 10 December 2004 and Friday, 17 December</t>
  </si>
  <si>
    <t>2004, both dates inclusive.</t>
  </si>
  <si>
    <t>Healthcare (Proprietary) Limited.</t>
  </si>
  <si>
    <t>Group share of net assets disposed of (80%)</t>
  </si>
  <si>
    <t>NAV (100%)</t>
  </si>
  <si>
    <t xml:space="preserve">The group consolidated 100% of the post acquisition losses of Intercare as these losses were not guaranteed by the </t>
  </si>
  <si>
    <t>minority shareholders.  The sale agreement provided for the purchaser to reimburse the group for 20% of the</t>
  </si>
  <si>
    <t xml:space="preserve">post acquisition losses on loan account. This resulted in a profit on sale of R0.6 million. </t>
  </si>
  <si>
    <t>(Loss)/profit attributable to shareholders</t>
  </si>
  <si>
    <t>Net cash effects of investing activities</t>
  </si>
  <si>
    <t>Closing exchange rate at the end of the period to 31 Dec 2003/31 Aug 2003</t>
  </si>
  <si>
    <t>Average exchange rate for the period to 31 Dec 2003/31 Aug 2003</t>
  </si>
  <si>
    <t>- interim</t>
  </si>
  <si>
    <t>% change</t>
  </si>
  <si>
    <t xml:space="preserve">The operations of the group excluding the Australian operations and excluding the results of Intercare Managed </t>
  </si>
  <si>
    <t>+27 (0)21 702 3115</t>
  </si>
  <si>
    <t>NOTES</t>
  </si>
  <si>
    <t>DIVIDEND DECLARATION</t>
  </si>
  <si>
    <t xml:space="preserve">   (Increase)/decrease in accounts receivable</t>
  </si>
  <si>
    <t>Non cash items:</t>
  </si>
  <si>
    <t>Net increase in cash &amp; cash equivalents</t>
  </si>
  <si>
    <t>Profit before interest and tax</t>
  </si>
  <si>
    <t>1. Operating profit before working capital changes</t>
  </si>
  <si>
    <t>The fair value of assets acquired and liabilities assumed were as follows:</t>
  </si>
  <si>
    <t>In 2004 the group acquired the Purchase Milton &amp; Associates group.</t>
  </si>
  <si>
    <t>(Loss)/profit attributable to ordinary shareholders</t>
  </si>
  <si>
    <t>Forex (profit)/loss</t>
  </si>
  <si>
    <t>CONSOLIDATED CHANGES IN EQUITY STATEMENT</t>
  </si>
  <si>
    <t>for the year ended 31 August</t>
  </si>
  <si>
    <t>(Proprietary) Limited, which was sold with effect from 1 March 2004.</t>
  </si>
  <si>
    <t xml:space="preserve">The number of shares in issue, increased by shares issued during the year, weighted on a time basis </t>
  </si>
  <si>
    <t>for the year during which they have participated in the income of the group.</t>
  </si>
  <si>
    <t>the year.</t>
  </si>
  <si>
    <t xml:space="preserve">Interest bearing debt at the end of the year divided by shareholders' funds at the end of </t>
  </si>
  <si>
    <t>New UPD</t>
  </si>
  <si>
    <t>as the changes required to comparative financial information are not material.</t>
  </si>
  <si>
    <t>It was announced on 5 January 2004 that New Clicks Holdings Limited and its wholly-owned subsidiary New Clicks</t>
  </si>
  <si>
    <t>private equity funders (the "consortium").</t>
  </si>
  <si>
    <t xml:space="preserve">The sale proceeds were Australian $107 million.  Out of these proceeds, New Clicks retired certain bank debts and </t>
  </si>
  <si>
    <t>financial lease liabilities as at 28 December 2003, amounting to Australian $19.7 million; and the consortium and NCA</t>
  </si>
  <si>
    <t>redeemed redeemable preference shares held by New Clicks for a redemption consideration of Australian $67.2 million.</t>
  </si>
  <si>
    <t>New Clicks received Australian $87.3 million as net sale proceeds from the disposal, including the redemption consideration</t>
  </si>
  <si>
    <t>in respect of the preference shares, and a preference dividend of Australian $1.5 million, which was declared and paid</t>
  </si>
  <si>
    <t>prior to the completion date of 13 February 2004.  This represents a surplus over the ungeared tangible net assets as at</t>
  </si>
  <si>
    <t xml:space="preserve">31 August 2003.  These proceeds were received on 17 February 2004, realising a profit on sale of R1.7 million. </t>
  </si>
  <si>
    <t>Limited ("Intercare").  A profit of R0.6 million was realised on the disposal.  The results of Intercare were incorporated in</t>
  </si>
  <si>
    <t>the New Clicks results until 29 February 2004, and have been disclosed separately in the income statement as</t>
  </si>
  <si>
    <t>discontinued operations.</t>
  </si>
  <si>
    <t>discounts granted by New United Pharmaceutical Distributors ("NUPD") which were previously included in operating expenses.</t>
  </si>
  <si>
    <t xml:space="preserve">classified as current liabilities in 2003.  This amount relates to the current portion of long-term liabilities.  The reallocation </t>
  </si>
  <si>
    <t xml:space="preserve">For segmental reporting purposes, Link Investment Trust and NUPD, which were previously reported as separate segments, </t>
  </si>
  <si>
    <t>have been combined into a single segment referred to as NUPD.  Comparatives have been restated accordingly.</t>
  </si>
  <si>
    <t>COMMENTARY</t>
  </si>
  <si>
    <t>Financial performance</t>
  </si>
  <si>
    <t>• Turnover from continuing operations increased by 28.6% to R7.4 billion, with the core retail brands growing by 10.5% to R4.7 billion.</t>
  </si>
  <si>
    <t>• New Clicks’ return on equity (RoE) increased from 15.6% to 18.2%, benefiting from the write-off of goodwill in PM&amp;A</t>
  </si>
  <si>
    <t xml:space="preserve">• The group increased profit before capital items, interest and taxation from continuing operations by 20.4% from R333.6 million </t>
  </si>
  <si>
    <t xml:space="preserve">   to R401.8 million.</t>
  </si>
  <si>
    <t>Year-on-year comparison of the group’s performance is impacted by:</t>
  </si>
  <si>
    <t>– the inclusion of NUPD in the results for the full 12-month period (compared with 8 months in the previous year);</t>
  </si>
  <si>
    <t>– the results of NCA, which was sold earlier in the year, are included for only four months (as opposed to the full 12 months in 2003);</t>
  </si>
  <si>
    <t>– the incorporation of PM&amp;A for the second six months of 2004.</t>
  </si>
  <si>
    <t>Trading performance</t>
  </si>
  <si>
    <t xml:space="preserve">Discom lifted turnover by 13.9%, with strong growth in FMCG sales and a pleasing comeback in homeware merchandise. This </t>
  </si>
  <si>
    <t>contributed to Discom returning to profitability for the first time in several years, reversing an operating loss of R5.6 million in</t>
  </si>
  <si>
    <t xml:space="preserve">2003 and recording an operating profit of R5.7 million. The brand continues to entrench its dominant position in the African </t>
  </si>
  <si>
    <t>beauty and hair care market.</t>
  </si>
  <si>
    <t xml:space="preserve">Turnover in The Body Shop grew by 12.0% for the year. Operating profit rose by only 2.4% to R10.3 million, with a poor </t>
  </si>
  <si>
    <t xml:space="preserve">NUPD increased turnover strongly during the year to R2.3 billion, and posted an operating profit of R75.6 million, an increase </t>
  </si>
  <si>
    <t xml:space="preserve">of 21% over the previous 12 months. The wholesale distributor continued to grow turnover from PM&amp;A stores, independent </t>
  </si>
  <si>
    <t>pharmacies and single channel distributors. Costs were tightly managed and the business generated strong cash flows.</t>
  </si>
  <si>
    <t xml:space="preserve">   and</t>
  </si>
  <si>
    <t>price of R7.65 per share. Management aims to continue the repurchase programme. The board decided to reduce dividend cover</t>
  </si>
  <si>
    <t>from 2.5 to 2.2 times, reflecting a 34.6% increase in the dividend declared over the prior year.</t>
  </si>
  <si>
    <t>The Australian operations, which were sold with effect from 28 December 2003, and Intercare Managed Healthcare</t>
  </si>
  <si>
    <t>Net interest bearing debt to shareholders' funds at year end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</si>
</sst>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##\ ###\ ##0\ ;\(###\ ###\ ##0\)\,&quot;- &quot;"/>
    <numFmt numFmtId="165" formatCode="_ * #,##0.0_ ;_ * \-#,##0.0_ ;_ * &quot;-&quot;??_ ;_ @_ "/>
    <numFmt numFmtId="166" formatCode="###.0\ ###\ ##0\ ;\(###.0\ ###\ ##0\)\,&quot;- &quot;"/>
    <numFmt numFmtId="167" formatCode="###\ ###\ ##0\ ;\(###\ ###\ ##0\);&quot;- &quot;"/>
    <numFmt numFmtId="168" formatCode="_ * #,##0.000_ ;_ * \-#,##0.000_ ;_ * &quot;-&quot;??_ ;_ @_ "/>
    <numFmt numFmtId="169" formatCode="_ * #,##0.0000_ ;_ * \-#,##0.0000_ ;_ * &quot;-&quot;??_ ;_ @_ "/>
    <numFmt numFmtId="170" formatCode="_ * #,##0.00000_ ;_ * \-#,##0.00000_ ;_ * &quot;-&quot;??_ ;_ @_ "/>
    <numFmt numFmtId="171" formatCode="###.0\ ###\ ##0\ ;\(###.0\ ###\ ##0\);&quot;- &quot;"/>
    <numFmt numFmtId="172" formatCode="_ * #,##0.0_ ;_ * \-#,##0.0_ ;_ * &quot;-&quot;?_ ;_ @_ "/>
    <numFmt numFmtId="173" formatCode="0.0%"/>
    <numFmt numFmtId="174" formatCode="0.0"/>
    <numFmt numFmtId="175" formatCode="_ * #,##0.0000_ ;_ * \-#,##0.0000_ ;_ * &quot;-&quot;????_ ;_ @_ "/>
    <numFmt numFmtId="176" formatCode="_ * #,##0_ ;_ * \-#,##0_ ;_ * &quot;-&quot;??_ ;_ @_ "/>
    <numFmt numFmtId="177" formatCode="General_)"/>
    <numFmt numFmtId="178" formatCode="_(* #,##0_);_(* \(#,##0\);_(* &quot;-&quot;??_);_(@_)"/>
    <numFmt numFmtId="179" formatCode="_(* #,##0.0_);_(* \(#,##0.0\);_(* &quot;-&quot;??_);_(@_)"/>
    <numFmt numFmtId="180" formatCode="_ * #,##0.0_ ;_ * \-#,##0.0_ ;_ * &quot;-&quot;_ ;_ @_ "/>
    <numFmt numFmtId="181" formatCode="_ * #,##0.00_ ;_ * \-#,##0.00_ ;_ * &quot;-&quot;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R&quot;#,##0_);\(&quot;R&quot;#,##0\)"/>
    <numFmt numFmtId="191" formatCode="&quot;R&quot;#,##0_);[Red]\(&quot;R&quot;#,##0\)"/>
    <numFmt numFmtId="192" formatCode="&quot;R&quot;#,##0.00_);\(&quot;R&quot;#,##0.00\)"/>
    <numFmt numFmtId="193" formatCode="&quot;R&quot;#,##0.00_);[Red]\(&quot;R&quot;#,##0.00\)"/>
    <numFmt numFmtId="194" formatCode="_(&quot;R&quot;* #,##0_);_(&quot;R&quot;* \(#,##0\);_(&quot;R&quot;* &quot;-&quot;_);_(@_)"/>
    <numFmt numFmtId="195" formatCode="_(&quot;R&quot;* #,##0.00_);_(&quot;R&quot;* \(#,##0.00\);_(&quot;R&quot;* &quot;-&quot;??_);_(@_)"/>
    <numFmt numFmtId="196" formatCode="_(* #\ ##0_);_(* \(#\ ##0\);_(* &quot;-&quot;??_);_(@_)"/>
    <numFmt numFmtId="197" formatCode="_(*#\ ###\ ##0_);_(* \(#\ ###\ ##0\);_(* &quot;-&quot;??_);_(@_)"/>
    <numFmt numFmtId="198" formatCode="_(* #\ ###\ ##0_);_(* \(#\ ###\ ##0\);_(* &quot;-&quot;??_);_(@_)"/>
    <numFmt numFmtId="199" formatCode="_(* #,##0.000_);_(* \(#,##0.000\);_(* &quot;-&quot;??_);_(@_)"/>
    <numFmt numFmtId="200" formatCode="###.00\ ###\ ##0\ ;\(###.00\ ###\ ##0\);&quot;- &quot;"/>
    <numFmt numFmtId="201" formatCode="###.000\ ###\ ##0\ ;\(###.000\ ###\ ##0\);&quot;- &quot;"/>
    <numFmt numFmtId="202" formatCode="###.0000\ ###\ ##0\ ;\(###.0000\ ###\ ##0\);&quot;- &quot;"/>
    <numFmt numFmtId="203" formatCode="###.00000\ ###\ ##0\ ;\(###.00000\ ###\ ##0\);&quot;- &quot;"/>
    <numFmt numFmtId="204" formatCode="_(* #,##0.0000_);_(* \(#,##0.0000\);_(* &quot;-&quot;??_);_(@_)"/>
    <numFmt numFmtId="205" formatCode="_(* #,##0.00000_);_(* \(#,##0.00000\);_(* &quot;-&quot;??_);_(@_)"/>
    <numFmt numFmtId="206" formatCode="###\ ###\ ##0\ ;\(###\ ###\ ##0\)\:&quot;- &quot;"/>
    <numFmt numFmtId="207" formatCode="_ * #,##0.00000_ ;_ * \-#,##0.00000_ ;_ * &quot;-&quot;?????_ ;_ @_ "/>
    <numFmt numFmtId="208" formatCode="_ * #,##0.0_ ;_ * \(#,##0.0\)\ ;_ * &quot;-&quot;??_ ;_ @_ "/>
    <numFmt numFmtId="209" formatCode="0.0%\ ;\(0.0%\)"/>
    <numFmt numFmtId="210" formatCode="0.0\ ;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22"/>
      <color indexed="55"/>
      <name val="Tahoma"/>
      <family val="2"/>
    </font>
    <font>
      <b/>
      <sz val="14"/>
      <name val="Tahoma"/>
      <family val="2"/>
    </font>
    <font>
      <b/>
      <sz val="14"/>
      <color indexed="18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0"/>
      <name val="Comic Sans MS"/>
      <family val="4"/>
    </font>
    <font>
      <u val="single"/>
      <sz val="10"/>
      <color indexed="1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0" xfId="15" applyNumberFormat="1" applyFont="1" applyAlignment="1">
      <alignment/>
    </xf>
    <xf numFmtId="167" fontId="1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167" fontId="1" fillId="0" borderId="2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167" fontId="1" fillId="0" borderId="6" xfId="0" applyNumberFormat="1" applyFont="1" applyBorder="1" applyAlignment="1">
      <alignment/>
    </xf>
    <xf numFmtId="167" fontId="1" fillId="0" borderId="3" xfId="0" applyNumberFormat="1" applyFont="1" applyFill="1" applyBorder="1" applyAlignment="1">
      <alignment/>
    </xf>
    <xf numFmtId="167" fontId="1" fillId="0" borderId="4" xfId="0" applyNumberFormat="1" applyFont="1" applyFill="1" applyBorder="1" applyAlignment="1">
      <alignment/>
    </xf>
    <xf numFmtId="167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1" fillId="0" borderId="0" xfId="0" applyNumberFormat="1" applyFont="1" applyFill="1" applyAlignment="1">
      <alignment/>
    </xf>
    <xf numFmtId="167" fontId="2" fillId="0" borderId="1" xfId="0" applyNumberFormat="1" applyFont="1" applyBorder="1" applyAlignment="1">
      <alignment horizontal="center"/>
    </xf>
    <xf numFmtId="165" fontId="1" fillId="0" borderId="0" xfId="15" applyNumberFormat="1" applyFont="1" applyFill="1" applyAlignment="1">
      <alignment/>
    </xf>
    <xf numFmtId="167" fontId="1" fillId="0" borderId="2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/>
    </xf>
    <xf numFmtId="167" fontId="1" fillId="0" borderId="0" xfId="0" applyNumberFormat="1" applyFont="1" applyAlignment="1" quotePrefix="1">
      <alignment/>
    </xf>
    <xf numFmtId="0" fontId="2" fillId="0" borderId="1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5" fontId="2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170" fontId="2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170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167" fontId="2" fillId="0" borderId="2" xfId="0" applyNumberFormat="1" applyFont="1" applyFill="1" applyBorder="1" applyAlignment="1">
      <alignment/>
    </xf>
    <xf numFmtId="167" fontId="2" fillId="0" borderId="3" xfId="0" applyNumberFormat="1" applyFont="1" applyFill="1" applyBorder="1" applyAlignment="1">
      <alignment/>
    </xf>
    <xf numFmtId="167" fontId="2" fillId="0" borderId="4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167" fontId="2" fillId="0" borderId="6" xfId="0" applyNumberFormat="1" applyFont="1" applyFill="1" applyBorder="1" applyAlignment="1">
      <alignment/>
    </xf>
    <xf numFmtId="167" fontId="1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43" fontId="2" fillId="0" borderId="0" xfId="15" applyFont="1" applyFill="1" applyAlignment="1">
      <alignment/>
    </xf>
    <xf numFmtId="0" fontId="1" fillId="0" borderId="0" xfId="0" applyFont="1" applyAlignment="1">
      <alignment vertical="top" wrapText="1"/>
    </xf>
    <xf numFmtId="167" fontId="2" fillId="0" borderId="1" xfId="0" applyNumberFormat="1" applyFont="1" applyFill="1" applyBorder="1" applyAlignment="1" quotePrefix="1">
      <alignment horizontal="right"/>
    </xf>
    <xf numFmtId="167" fontId="1" fillId="0" borderId="1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2" fillId="0" borderId="1" xfId="0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centerContinuous"/>
    </xf>
    <xf numFmtId="167" fontId="2" fillId="0" borderId="0" xfId="0" applyNumberFormat="1" applyFont="1" applyFill="1" applyBorder="1" applyAlignment="1" quotePrefix="1">
      <alignment horizontal="right"/>
    </xf>
    <xf numFmtId="167" fontId="1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right"/>
    </xf>
    <xf numFmtId="165" fontId="2" fillId="0" borderId="0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1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 horizontal="left" indent="1"/>
      <protection/>
    </xf>
    <xf numFmtId="41" fontId="1" fillId="0" borderId="0" xfId="0" applyNumberFormat="1" applyFont="1" applyAlignment="1" applyProtection="1">
      <alignment horizontal="right"/>
      <protection/>
    </xf>
    <xf numFmtId="38" fontId="1" fillId="0" borderId="0" xfId="0" applyNumberFormat="1" applyFont="1" applyFill="1" applyBorder="1" applyAlignment="1" applyProtection="1">
      <alignment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67" fontId="1" fillId="0" borderId="5" xfId="0" applyNumberFormat="1" applyFont="1" applyFill="1" applyBorder="1" applyAlignment="1" applyProtection="1">
      <alignment/>
      <protection/>
    </xf>
    <xf numFmtId="41" fontId="1" fillId="0" borderId="0" xfId="0" applyNumberFormat="1" applyFont="1" applyAlignment="1" applyProtection="1">
      <alignment horizontal="left" indent="3"/>
      <protection/>
    </xf>
    <xf numFmtId="38" fontId="1" fillId="0" borderId="0" xfId="0" applyNumberFormat="1" applyFont="1" applyFill="1" applyBorder="1" applyAlignment="1">
      <alignment/>
    </xf>
    <xf numFmtId="41" fontId="1" fillId="0" borderId="0" xfId="0" applyNumberFormat="1" applyFont="1" applyAlignment="1" applyProtection="1">
      <alignment horizontal="left" indent="2"/>
      <protection/>
    </xf>
    <xf numFmtId="41" fontId="1" fillId="0" borderId="0" xfId="0" applyNumberFormat="1" applyFont="1" applyAlignment="1">
      <alignment horizontal="left" inden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15" applyNumberFormat="1" applyFont="1" applyFill="1" applyAlignment="1">
      <alignment/>
    </xf>
    <xf numFmtId="178" fontId="1" fillId="0" borderId="0" xfId="15" applyNumberFormat="1" applyFont="1" applyFill="1" applyAlignment="1">
      <alignment/>
    </xf>
    <xf numFmtId="167" fontId="2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7" fontId="1" fillId="0" borderId="0" xfId="0" applyNumberFormat="1" applyFont="1" applyFill="1" applyAlignment="1">
      <alignment horizontal="centerContinuous"/>
    </xf>
    <xf numFmtId="178" fontId="2" fillId="0" borderId="0" xfId="15" applyNumberFormat="1" applyFont="1" applyFill="1" applyAlignment="1">
      <alignment horizontal="centerContinuous"/>
    </xf>
    <xf numFmtId="178" fontId="1" fillId="0" borderId="0" xfId="15" applyNumberFormat="1" applyFont="1" applyFill="1" applyAlignment="1">
      <alignment horizontal="centerContinuous"/>
    </xf>
    <xf numFmtId="0" fontId="2" fillId="0" borderId="1" xfId="0" applyNumberFormat="1" applyFont="1" applyFill="1" applyBorder="1" applyAlignment="1" quotePrefix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left" indent="1"/>
    </xf>
    <xf numFmtId="178" fontId="2" fillId="0" borderId="1" xfId="15" applyNumberFormat="1" applyFont="1" applyFill="1" applyBorder="1" applyAlignment="1">
      <alignment/>
    </xf>
    <xf numFmtId="178" fontId="1" fillId="0" borderId="1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78" fontId="2" fillId="0" borderId="6" xfId="15" applyNumberFormat="1" applyFont="1" applyFill="1" applyBorder="1" applyAlignment="1">
      <alignment/>
    </xf>
    <xf numFmtId="178" fontId="1" fillId="0" borderId="6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/>
    </xf>
    <xf numFmtId="0" fontId="2" fillId="0" borderId="0" xfId="0" applyFont="1" applyAlignment="1">
      <alignment horizontal="center"/>
    </xf>
    <xf numFmtId="41" fontId="9" fillId="0" borderId="0" xfId="0" applyNumberFormat="1" applyFont="1" applyFill="1" applyBorder="1" applyAlignment="1">
      <alignment/>
    </xf>
    <xf numFmtId="167" fontId="2" fillId="0" borderId="0" xfId="0" applyNumberFormat="1" applyFont="1" applyFill="1" applyAlignment="1" applyProtection="1">
      <alignment/>
      <protection/>
    </xf>
    <xf numFmtId="167" fontId="2" fillId="0" borderId="5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167" fontId="2" fillId="0" borderId="2" xfId="0" applyNumberFormat="1" applyFont="1" applyFill="1" applyBorder="1" applyAlignment="1" applyProtection="1">
      <alignment horizontal="right"/>
      <protection/>
    </xf>
    <xf numFmtId="167" fontId="2" fillId="0" borderId="3" xfId="0" applyNumberFormat="1" applyFont="1" applyFill="1" applyBorder="1" applyAlignment="1" applyProtection="1">
      <alignment horizontal="right"/>
      <protection/>
    </xf>
    <xf numFmtId="167" fontId="2" fillId="0" borderId="4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5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center" wrapText="1"/>
    </xf>
    <xf numFmtId="167" fontId="1" fillId="0" borderId="11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left" indent="1"/>
    </xf>
    <xf numFmtId="0" fontId="1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173" fontId="1" fillId="0" borderId="0" xfId="21" applyNumberFormat="1" applyFont="1" applyFill="1" applyAlignment="1">
      <alignment/>
    </xf>
    <xf numFmtId="173" fontId="1" fillId="0" borderId="0" xfId="21" applyNumberFormat="1" applyFont="1" applyFill="1" applyAlignment="1">
      <alignment horizontal="centerContinuous"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left" indent="11"/>
    </xf>
    <xf numFmtId="0" fontId="3" fillId="0" borderId="0" xfId="0" applyFont="1" applyAlignment="1">
      <alignment horizontal="center"/>
    </xf>
    <xf numFmtId="209" fontId="1" fillId="0" borderId="0" xfId="21" applyNumberFormat="1" applyFont="1" applyFill="1" applyAlignment="1">
      <alignment/>
    </xf>
    <xf numFmtId="209" fontId="1" fillId="0" borderId="1" xfId="21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NumberFormat="1" applyFont="1" applyFill="1" applyAlignment="1" quotePrefix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quotePrefix="1">
      <alignment wrapText="1"/>
    </xf>
    <xf numFmtId="173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209" fontId="1" fillId="0" borderId="0" xfId="0" applyNumberFormat="1" applyFont="1" applyFill="1" applyAlignment="1">
      <alignment/>
    </xf>
    <xf numFmtId="210" fontId="2" fillId="0" borderId="0" xfId="15" applyNumberFormat="1" applyFont="1" applyFill="1" applyAlignment="1">
      <alignment/>
    </xf>
    <xf numFmtId="210" fontId="1" fillId="0" borderId="0" xfId="0" applyNumberFormat="1" applyFont="1" applyFill="1" applyAlignment="1">
      <alignment/>
    </xf>
    <xf numFmtId="210" fontId="1" fillId="0" borderId="0" xfId="15" applyNumberFormat="1" applyFont="1" applyFill="1" applyAlignment="1">
      <alignment/>
    </xf>
    <xf numFmtId="173" fontId="1" fillId="0" borderId="1" xfId="21" applyNumberFormat="1" applyFont="1" applyFill="1" applyBorder="1" applyAlignment="1" quotePrefix="1">
      <alignment horizontal="right"/>
    </xf>
    <xf numFmtId="0" fontId="11" fillId="0" borderId="0" xfId="20" applyFont="1" applyAlignment="1">
      <alignment/>
    </xf>
    <xf numFmtId="167" fontId="1" fillId="0" borderId="0" xfId="0" applyNumberFormat="1" applyFont="1" applyFill="1" applyBorder="1" applyAlignment="1" applyProtection="1">
      <alignment/>
      <protection/>
    </xf>
    <xf numFmtId="209" fontId="1" fillId="0" borderId="2" xfId="21" applyNumberFormat="1" applyFont="1" applyFill="1" applyBorder="1" applyAlignment="1">
      <alignment/>
    </xf>
    <xf numFmtId="209" fontId="1" fillId="0" borderId="3" xfId="21" applyNumberFormat="1" applyFont="1" applyFill="1" applyBorder="1" applyAlignment="1">
      <alignment/>
    </xf>
    <xf numFmtId="209" fontId="1" fillId="0" borderId="4" xfId="21" applyNumberFormat="1" applyFont="1" applyFill="1" applyBorder="1" applyAlignment="1">
      <alignment/>
    </xf>
    <xf numFmtId="209" fontId="1" fillId="0" borderId="0" xfId="21" applyNumberFormat="1" applyFont="1" applyFill="1" applyAlignment="1">
      <alignment horizontal="right"/>
    </xf>
    <xf numFmtId="209" fontId="1" fillId="0" borderId="1" xfId="0" applyNumberFormat="1" applyFont="1" applyFill="1" applyBorder="1" applyAlignment="1">
      <alignment/>
    </xf>
    <xf numFmtId="209" fontId="1" fillId="0" borderId="2" xfId="0" applyNumberFormat="1" applyFont="1" applyFill="1" applyBorder="1" applyAlignment="1">
      <alignment/>
    </xf>
    <xf numFmtId="209" fontId="1" fillId="0" borderId="3" xfId="0" applyNumberFormat="1" applyFont="1" applyFill="1" applyBorder="1" applyAlignment="1">
      <alignment/>
    </xf>
    <xf numFmtId="209" fontId="1" fillId="0" borderId="4" xfId="0" applyNumberFormat="1" applyFont="1" applyFill="1" applyBorder="1" applyAlignment="1">
      <alignment/>
    </xf>
    <xf numFmtId="209" fontId="1" fillId="0" borderId="0" xfId="0" applyNumberFormat="1" applyFont="1" applyFill="1" applyAlignment="1">
      <alignment horizontal="right"/>
    </xf>
    <xf numFmtId="209" fontId="1" fillId="0" borderId="6" xfId="0" applyNumberFormat="1" applyFont="1" applyFill="1" applyBorder="1" applyAlignment="1">
      <alignment/>
    </xf>
    <xf numFmtId="41" fontId="1" fillId="0" borderId="0" xfId="0" applyNumberFormat="1" applyFont="1" applyAlignment="1" applyProtection="1">
      <alignment horizontal="left" wrapText="1" indent="2"/>
      <protection/>
    </xf>
    <xf numFmtId="181" fontId="1" fillId="0" borderId="0" xfId="0" applyNumberFormat="1" applyFont="1" applyAlignment="1" applyProtection="1">
      <alignment horizontal="left" indent="1"/>
      <protection/>
    </xf>
    <xf numFmtId="41" fontId="1" fillId="0" borderId="0" xfId="0" applyNumberFormat="1" applyFont="1" applyAlignment="1">
      <alignment horizontal="left" indent="2"/>
    </xf>
    <xf numFmtId="0" fontId="2" fillId="0" borderId="0" xfId="0" applyFont="1" applyFill="1" applyAlignment="1">
      <alignment horizontal="center" wrapText="1"/>
    </xf>
    <xf numFmtId="210" fontId="2" fillId="0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NumberFormat="1" applyFont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9" fontId="1" fillId="0" borderId="0" xfId="0" applyNumberFormat="1" applyFont="1" applyFill="1" applyBorder="1" applyAlignment="1">
      <alignment/>
    </xf>
    <xf numFmtId="209" fontId="1" fillId="0" borderId="0" xfId="0" applyNumberFormat="1" applyFont="1" applyFill="1" applyBorder="1" applyAlignment="1">
      <alignment horizontal="right"/>
    </xf>
    <xf numFmtId="209" fontId="1" fillId="0" borderId="0" xfId="21" applyNumberFormat="1" applyFont="1" applyFill="1" applyBorder="1" applyAlignment="1">
      <alignment/>
    </xf>
    <xf numFmtId="209" fontId="1" fillId="0" borderId="0" xfId="21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85725</xdr:rowOff>
    </xdr:from>
    <xdr:to>
      <xdr:col>3</xdr:col>
      <xdr:colOff>885825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7650"/>
          <a:ext cx="7277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yncronised%20Docmuments\Year%20End\AFS\Annual%20financial%20statements%202004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  <sheetName val="Value added"/>
      <sheetName val="7 Yr Review"/>
      <sheetName val="Balance sheet"/>
      <sheetName val="Segmental IS"/>
      <sheetName val="Sheet2"/>
      <sheetName val="Sheet1"/>
      <sheetName val="Income statement"/>
      <sheetName val="Equity"/>
      <sheetName val="Cash flow"/>
      <sheetName val="Currency bal sheet"/>
      <sheetName val="Currency inc statement"/>
      <sheetName val="Segmental BS"/>
      <sheetName val="Geographic Segmental"/>
      <sheetName val="Notes - PPE"/>
      <sheetName val="Notes - BS"/>
      <sheetName val="Notes - IS"/>
      <sheetName val="Notes - IS (2)"/>
      <sheetName val="Notes (5)"/>
      <sheetName val="Notes - Cashflow"/>
      <sheetName val="Company BS &amp; IS"/>
      <sheetName val="Co Equity"/>
      <sheetName val="Co Cashflow"/>
      <sheetName val="Int in Subs"/>
    </sheetNames>
    <sheetDataSet>
      <sheetData sheetId="23">
        <row r="2">
          <cell r="G2" t="str">
            <v>Ordinary</v>
          </cell>
          <cell r="H2" t="str">
            <v>Shares at cost less</v>
          </cell>
          <cell r="K2" t="str">
            <v>Amount owing</v>
          </cell>
        </row>
        <row r="3">
          <cell r="G3" t="str">
            <v>issued</v>
          </cell>
          <cell r="H3" t="str">
            <v>amounts written off</v>
          </cell>
          <cell r="K3" t="str">
            <v>(to)/by subsidiaries</v>
          </cell>
        </row>
        <row r="4">
          <cell r="F4" t="str">
            <v>Country of</v>
          </cell>
          <cell r="G4" t="str">
            <v>share</v>
          </cell>
          <cell r="H4" t="str">
            <v>2003</v>
          </cell>
          <cell r="I4" t="str">
            <v>2002</v>
          </cell>
          <cell r="K4" t="str">
            <v>2003</v>
          </cell>
          <cell r="L4" t="str">
            <v>2002</v>
          </cell>
        </row>
        <row r="5">
          <cell r="B5" t="str">
            <v>Name of company and nature of business</v>
          </cell>
          <cell r="F5" t="str">
            <v>incorporation</v>
          </cell>
          <cell r="G5" t="str">
            <v>capital</v>
          </cell>
          <cell r="H5" t="str">
            <v>R'000</v>
          </cell>
          <cell r="I5" t="str">
            <v>R'000</v>
          </cell>
          <cell r="K5" t="str">
            <v>R'000</v>
          </cell>
          <cell r="L5" t="str">
            <v>R'000</v>
          </cell>
        </row>
        <row r="9">
          <cell r="B9" t="str">
            <v>Trading</v>
          </cell>
        </row>
        <row r="10">
          <cell r="B10" t="str">
            <v>New Clicks South Africa (Pty) Ltd</v>
          </cell>
          <cell r="F10" t="str">
            <v>South Africa</v>
          </cell>
          <cell r="G10" t="str">
            <v>R500</v>
          </cell>
          <cell r="H10">
            <v>272439</v>
          </cell>
          <cell r="I10">
            <v>272439</v>
          </cell>
          <cell r="K10">
            <v>-29443</v>
          </cell>
          <cell r="L10">
            <v>-44511</v>
          </cell>
        </row>
        <row r="11">
          <cell r="B11" t="str">
            <v>The Link Investment Trust </v>
          </cell>
          <cell r="F11" t="str">
            <v>South Africa</v>
          </cell>
          <cell r="H11">
            <v>14790</v>
          </cell>
          <cell r="I11">
            <v>14790</v>
          </cell>
          <cell r="K11">
            <v>15000</v>
          </cell>
          <cell r="L11">
            <v>15000</v>
          </cell>
        </row>
        <row r="13">
          <cell r="B13" t="str">
            <v>Property owning</v>
          </cell>
        </row>
        <row r="14">
          <cell r="B14" t="str">
            <v>Elsdon Investments (Proprietary) Limited</v>
          </cell>
          <cell r="F14" t="str">
            <v>South Africa</v>
          </cell>
          <cell r="G14" t="str">
            <v>      R1</v>
          </cell>
          <cell r="H14">
            <v>3911</v>
          </cell>
          <cell r="I14">
            <v>3911</v>
          </cell>
          <cell r="K14">
            <v>0</v>
          </cell>
          <cell r="L14">
            <v>0</v>
          </cell>
        </row>
        <row r="15">
          <cell r="B15" t="str">
            <v>Crantock Investments (Proprietary) Limited</v>
          </cell>
          <cell r="F15" t="str">
            <v>South Africa</v>
          </cell>
          <cell r="G15" t="str">
            <v>      R1</v>
          </cell>
          <cell r="H15">
            <v>44</v>
          </cell>
          <cell r="I15">
            <v>44</v>
          </cell>
          <cell r="K15">
            <v>0</v>
          </cell>
          <cell r="L15">
            <v>0</v>
          </cell>
        </row>
        <row r="16">
          <cell r="B16" t="str">
            <v>Optimprops 93 (Proprietary) Limited</v>
          </cell>
          <cell r="F16" t="str">
            <v>South Africa</v>
          </cell>
          <cell r="G16" t="str">
            <v>      R100</v>
          </cell>
          <cell r="H16">
            <v>13</v>
          </cell>
          <cell r="I16">
            <v>13</v>
          </cell>
          <cell r="K16">
            <v>0</v>
          </cell>
          <cell r="L16">
            <v>0</v>
          </cell>
        </row>
        <row r="17">
          <cell r="B17" t="str">
            <v>Flamborough Investments (Proprietary) Limited</v>
          </cell>
          <cell r="F17" t="str">
            <v>South Africa</v>
          </cell>
          <cell r="G17" t="str">
            <v>      R1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B18" t="str">
            <v>Clicks Centurion (Proprietary) Limited</v>
          </cell>
          <cell r="F18" t="str">
            <v>South Africa</v>
          </cell>
          <cell r="G18" t="str">
            <v>R10</v>
          </cell>
          <cell r="H18">
            <v>0</v>
          </cell>
          <cell r="I18">
            <v>0</v>
          </cell>
          <cell r="K18">
            <v>9000</v>
          </cell>
          <cell r="L18">
            <v>9000</v>
          </cell>
        </row>
        <row r="20">
          <cell r="B20" t="str">
            <v>Holding</v>
          </cell>
        </row>
        <row r="21">
          <cell r="B21" t="str">
            <v>New Clicks International Holdings NV</v>
          </cell>
          <cell r="F21" t="str">
            <v>Belgium</v>
          </cell>
          <cell r="G21" t="str">
            <v>BEF607.7 million</v>
          </cell>
          <cell r="H21">
            <v>4331</v>
          </cell>
          <cell r="I21">
            <v>4331</v>
          </cell>
          <cell r="K21">
            <v>0</v>
          </cell>
          <cell r="L21">
            <v>0</v>
          </cell>
        </row>
        <row r="22">
          <cell r="B22" t="str">
            <v>New Clicks Australia (Proprietary) Limited</v>
          </cell>
          <cell r="F22" t="str">
            <v>Australia</v>
          </cell>
          <cell r="G22" t="str">
            <v>*A$67.2 million</v>
          </cell>
          <cell r="H22">
            <v>393039</v>
          </cell>
          <cell r="I22">
            <v>393039</v>
          </cell>
          <cell r="K22">
            <v>0</v>
          </cell>
          <cell r="L22">
            <v>0</v>
          </cell>
        </row>
        <row r="26">
          <cell r="B26" t="str">
            <v>Trading</v>
          </cell>
        </row>
        <row r="27">
          <cell r="B27" t="str">
            <v>Clicks Stores (Western Cape) (Proprietary) Limited</v>
          </cell>
          <cell r="F27" t="str">
            <v>South Africa</v>
          </cell>
          <cell r="G27" t="str">
            <v>   R1 000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B28" t="str">
            <v>Safeway (Swaziland) (Proprietary) Limited</v>
          </cell>
          <cell r="F28" t="str">
            <v>Swaziland</v>
          </cell>
          <cell r="G28" t="str">
            <v>      E2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</row>
        <row r="29">
          <cell r="B29" t="str">
            <v>Clicks Stores (Lesotho) (Proprietary) Limited</v>
          </cell>
          <cell r="F29" t="str">
            <v>Lesotho</v>
          </cell>
          <cell r="G29" t="str">
            <v>   M1 000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B30" t="str">
            <v>Safeway (Namibia) (Proprietary) Limited</v>
          </cell>
          <cell r="F30" t="str">
            <v>Namibia</v>
          </cell>
          <cell r="G30" t="str">
            <v>N$100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B31" t="str">
            <v>Price Attack Franchising (Proprietary) Limited</v>
          </cell>
          <cell r="F31" t="str">
            <v>Australia</v>
          </cell>
          <cell r="G31" t="str">
            <v>A$103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B32" t="str">
            <v>New Clicks Australia Services (Proprietary) Limited</v>
          </cell>
          <cell r="F32" t="str">
            <v>Australia</v>
          </cell>
          <cell r="G32" t="str">
            <v>A$1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B33" t="str">
            <v>The Priceline Unit Trust and</v>
          </cell>
        </row>
        <row r="34">
          <cell r="B34" t="str">
            <v>The Second Priceline Unit Trust </v>
          </cell>
          <cell r="F34" t="str">
            <v>Australia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</row>
        <row r="35">
          <cell r="B35" t="str">
            <v>The House Unit Trust</v>
          </cell>
          <cell r="F35" t="str">
            <v>Australia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B36" t="str">
            <v>The Clicks Group Finance Company (Proprietary)</v>
          </cell>
        </row>
        <row r="37">
          <cell r="B37" t="str">
            <v>Limited</v>
          </cell>
          <cell r="F37" t="str">
            <v>South Africa</v>
          </cell>
          <cell r="G37" t="str">
            <v>R1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</row>
        <row r="38">
          <cell r="B38" t="str">
            <v>New United Pharmaceutical Distributors (Proprietary)</v>
          </cell>
        </row>
        <row r="39">
          <cell r="B39" t="str">
            <v>Limited</v>
          </cell>
          <cell r="F39" t="str">
            <v>South Africa</v>
          </cell>
          <cell r="G39" t="str">
            <v>R10</v>
          </cell>
          <cell r="H39">
            <v>0</v>
          </cell>
          <cell r="I39">
            <v>0</v>
          </cell>
          <cell r="K39">
            <v>37199</v>
          </cell>
          <cell r="L39">
            <v>0</v>
          </cell>
        </row>
        <row r="40">
          <cell r="B40" t="str">
            <v>Multicare Pharmaceutical Benefits Management </v>
          </cell>
        </row>
        <row r="41">
          <cell r="B41" t="str">
            <v>(Proprietary) Limited</v>
          </cell>
          <cell r="F41" t="str">
            <v>South Africa</v>
          </cell>
          <cell r="G41" t="str">
            <v>R4 000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</row>
        <row r="42">
          <cell r="B42" t="str">
            <v>Multicare Western Cape (Proprietary) Limited</v>
          </cell>
          <cell r="F42" t="str">
            <v>South Africa</v>
          </cell>
          <cell r="G42" t="str">
            <v>R100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</row>
        <row r="43">
          <cell r="B43" t="str">
            <v>Intercare Managed Healthcare (Proprietary) Limited</v>
          </cell>
          <cell r="F43" t="str">
            <v>South Africa</v>
          </cell>
          <cell r="G43" t="str">
            <v>R100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5">
          <cell r="B45" t="str">
            <v>Name protection and dormant</v>
          </cell>
        </row>
        <row r="46">
          <cell r="B46" t="str">
            <v>22 companies (2002 - 22 companies)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</row>
        <row r="48">
          <cell r="B48" t="str">
            <v>Holding</v>
          </cell>
        </row>
        <row r="49">
          <cell r="B49" t="str">
            <v>Musica (Africa) Holdings Limited</v>
          </cell>
          <cell r="F49" t="str">
            <v>South Africa</v>
          </cell>
          <cell r="G49" t="str">
            <v> R246 029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</row>
        <row r="50">
          <cell r="B50" t="str">
            <v>Clicks Stores Holdings (Proprietary) Limited</v>
          </cell>
          <cell r="F50" t="str">
            <v>South Africa</v>
          </cell>
          <cell r="G50" t="str">
            <v>     R68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</row>
        <row r="51">
          <cell r="B51" t="str">
            <v>Multicare Health Centres (Proprietary) Limited</v>
          </cell>
          <cell r="F51" t="str">
            <v>South Africa</v>
          </cell>
          <cell r="G51" t="str">
            <v>R1 000</v>
          </cell>
        </row>
        <row r="52">
          <cell r="B52" t="str">
            <v>New Clicks Australia (Proprietary) Limited</v>
          </cell>
          <cell r="F52" t="str">
            <v>Australia</v>
          </cell>
          <cell r="G52" t="str">
            <v>A$28.2 million</v>
          </cell>
          <cell r="H52">
            <v>0</v>
          </cell>
          <cell r="I52">
            <v>0</v>
          </cell>
          <cell r="K52">
            <v>36352</v>
          </cell>
          <cell r="L52">
            <v>555</v>
          </cell>
        </row>
        <row r="54">
          <cell r="H54">
            <v>688567</v>
          </cell>
          <cell r="I54">
            <v>688567</v>
          </cell>
          <cell r="K54">
            <v>68108</v>
          </cell>
          <cell r="L54">
            <v>-19956</v>
          </cell>
        </row>
        <row r="57">
          <cell r="H57">
            <v>688567</v>
          </cell>
          <cell r="I57">
            <v>688567</v>
          </cell>
        </row>
        <row r="58">
          <cell r="H58">
            <v>68108</v>
          </cell>
          <cell r="I58">
            <v>-19956</v>
          </cell>
        </row>
        <row r="60">
          <cell r="H60">
            <v>756675</v>
          </cell>
          <cell r="I60">
            <v>668611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graeme@tier1ir.co.za" TargetMode="External" /><Relationship Id="rId2" Type="http://schemas.openxmlformats.org/officeDocument/2006/relationships/hyperlink" Target="mailto:sue@tier1ir.co.za" TargetMode="External" /><Relationship Id="rId3" Type="http://schemas.openxmlformats.org/officeDocument/2006/relationships/hyperlink" Target="mailto:don@tier1ir.co.za" TargetMode="Externa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5:G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2" width="4.8515625" style="3" bestFit="1" customWidth="1"/>
    <col min="3" max="3" width="93.28125" style="3" bestFit="1" customWidth="1"/>
    <col min="4" max="4" width="15.8515625" style="3" customWidth="1"/>
    <col min="5" max="5" width="17.00390625" style="3" customWidth="1"/>
    <col min="6" max="16384" width="9.140625" style="3" customWidth="1"/>
  </cols>
  <sheetData>
    <row r="15" spans="2:7" s="5" customFormat="1" ht="27">
      <c r="B15" s="192" t="s">
        <v>346</v>
      </c>
      <c r="C15" s="192"/>
      <c r="D15" s="192"/>
      <c r="E15" s="154"/>
      <c r="F15" s="154"/>
      <c r="G15" s="154"/>
    </row>
    <row r="16" spans="2:7" s="5" customFormat="1" ht="27">
      <c r="B16" s="192" t="s">
        <v>302</v>
      </c>
      <c r="C16" s="192"/>
      <c r="D16" s="192"/>
      <c r="E16" s="154"/>
      <c r="F16" s="154"/>
      <c r="G16" s="154"/>
    </row>
    <row r="18" spans="2:3" ht="18">
      <c r="B18" s="4"/>
      <c r="C18" s="7" t="s">
        <v>295</v>
      </c>
    </row>
    <row r="19" spans="2:4" ht="18">
      <c r="B19" s="104" t="s">
        <v>37</v>
      </c>
      <c r="C19" s="105" t="s">
        <v>291</v>
      </c>
      <c r="D19" s="164">
        <v>0.092</v>
      </c>
    </row>
    <row r="20" spans="2:4" ht="7.5" customHeight="1">
      <c r="B20" s="106"/>
      <c r="C20" s="107"/>
      <c r="D20" s="165"/>
    </row>
    <row r="21" spans="2:4" ht="18">
      <c r="B21" s="106" t="s">
        <v>37</v>
      </c>
      <c r="C21" s="107" t="s">
        <v>292</v>
      </c>
      <c r="D21" s="166">
        <v>0.223</v>
      </c>
    </row>
    <row r="22" spans="2:4" ht="7.5" customHeight="1">
      <c r="B22" s="106"/>
      <c r="C22" s="107"/>
      <c r="D22" s="165"/>
    </row>
    <row r="23" spans="2:4" ht="18">
      <c r="B23" s="108" t="s">
        <v>37</v>
      </c>
      <c r="C23" s="109" t="s">
        <v>293</v>
      </c>
      <c r="D23" s="167">
        <v>0.155</v>
      </c>
    </row>
    <row r="24" ht="12.75">
      <c r="D24" s="130"/>
    </row>
    <row r="25" ht="12.75">
      <c r="D25" s="130"/>
    </row>
    <row r="26" ht="12.75">
      <c r="D26" s="130"/>
    </row>
    <row r="27" spans="3:4" ht="18">
      <c r="C27" s="7" t="s">
        <v>294</v>
      </c>
      <c r="D27" s="130"/>
    </row>
    <row r="28" spans="2:4" s="7" customFormat="1" ht="18">
      <c r="B28" s="104" t="s">
        <v>37</v>
      </c>
      <c r="C28" s="105" t="s">
        <v>288</v>
      </c>
      <c r="D28" s="168">
        <v>0.286</v>
      </c>
    </row>
    <row r="29" spans="2:4" s="7" customFormat="1" ht="7.5" customHeight="1">
      <c r="B29" s="106"/>
      <c r="C29" s="107"/>
      <c r="D29" s="169"/>
    </row>
    <row r="30" spans="2:4" s="7" customFormat="1" ht="18">
      <c r="B30" s="106" t="s">
        <v>37</v>
      </c>
      <c r="C30" s="107" t="s">
        <v>289</v>
      </c>
      <c r="D30" s="169">
        <v>0.194</v>
      </c>
    </row>
    <row r="31" spans="2:4" s="7" customFormat="1" ht="7.5" customHeight="1">
      <c r="B31" s="106"/>
      <c r="C31" s="107"/>
      <c r="D31" s="169"/>
    </row>
    <row r="32" spans="2:4" s="7" customFormat="1" ht="18" customHeight="1">
      <c r="B32" s="108" t="s">
        <v>37</v>
      </c>
      <c r="C32" s="109" t="s">
        <v>290</v>
      </c>
      <c r="D32" s="167">
        <v>0.127</v>
      </c>
    </row>
    <row r="33" ht="12.75">
      <c r="B33" s="4"/>
    </row>
    <row r="34" ht="12.75">
      <c r="B34" s="4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140625" defaultRowHeight="12.75"/>
  <cols>
    <col min="1" max="1" width="37.8515625" style="43" customWidth="1"/>
    <col min="2" max="2" width="3.421875" style="43" bestFit="1" customWidth="1"/>
    <col min="3" max="3" width="1.7109375" style="38" customWidth="1"/>
    <col min="4" max="4" width="13.421875" style="47" customWidth="1"/>
    <col min="5" max="5" width="1.7109375" style="38" customWidth="1"/>
    <col min="6" max="6" width="11.140625" style="38" bestFit="1" customWidth="1"/>
    <col min="7" max="7" width="1.7109375" style="38" customWidth="1"/>
    <col min="8" max="8" width="14.00390625" style="47" bestFit="1" customWidth="1"/>
    <col min="9" max="9" width="1.7109375" style="38" customWidth="1"/>
    <col min="10" max="10" width="11.140625" style="38" bestFit="1" customWidth="1"/>
    <col min="11" max="11" width="1.7109375" style="38" customWidth="1"/>
    <col min="12" max="12" width="12.28125" style="47" bestFit="1" customWidth="1"/>
    <col min="13" max="13" width="1.7109375" style="38" customWidth="1"/>
    <col min="14" max="14" width="9.421875" style="38" bestFit="1" customWidth="1"/>
    <col min="15" max="15" width="1.7109375" style="38" customWidth="1"/>
    <col min="16" max="16" width="12.00390625" style="47" bestFit="1" customWidth="1"/>
    <col min="17" max="17" width="1.7109375" style="38" customWidth="1"/>
    <col min="18" max="18" width="9.8515625" style="38" bestFit="1" customWidth="1"/>
    <col min="19" max="19" width="1.7109375" style="38" customWidth="1"/>
    <col min="20" max="20" width="11.140625" style="47" bestFit="1" customWidth="1"/>
    <col min="21" max="21" width="1.7109375" style="38" customWidth="1"/>
    <col min="22" max="22" width="9.00390625" style="38" bestFit="1" customWidth="1"/>
    <col min="23" max="23" width="1.7109375" style="38" customWidth="1"/>
    <col min="24" max="24" width="10.00390625" style="47" customWidth="1"/>
    <col min="25" max="25" width="1.7109375" style="38" customWidth="1"/>
    <col min="26" max="26" width="10.421875" style="47" bestFit="1" customWidth="1"/>
    <col min="27" max="27" width="1.7109375" style="38" customWidth="1"/>
    <col min="28" max="28" width="7.7109375" style="38" bestFit="1" customWidth="1"/>
    <col min="29" max="29" width="1.7109375" style="38" customWidth="1"/>
    <col min="30" max="30" width="14.00390625" style="47" bestFit="1" customWidth="1"/>
    <col min="31" max="31" width="1.7109375" style="43" customWidth="1"/>
    <col min="32" max="32" width="10.140625" style="43" bestFit="1" customWidth="1"/>
    <col min="33" max="33" width="1.7109375" style="43" customWidth="1"/>
    <col min="34" max="34" width="12.57421875" style="59" bestFit="1" customWidth="1"/>
    <col min="35" max="35" width="1.7109375" style="43" customWidth="1"/>
    <col min="36" max="36" width="13.421875" style="43" bestFit="1" customWidth="1"/>
    <col min="37" max="37" width="1.7109375" style="43" customWidth="1"/>
    <col min="38" max="38" width="11.140625" style="43" bestFit="1" customWidth="1"/>
    <col min="39" max="39" width="1.7109375" style="43" customWidth="1"/>
    <col min="40" max="40" width="13.7109375" style="59" customWidth="1"/>
    <col min="41" max="41" width="1.7109375" style="43" customWidth="1"/>
    <col min="42" max="16384" width="9.140625" style="43" customWidth="1"/>
  </cols>
  <sheetData>
    <row r="1" spans="1:2" ht="18">
      <c r="A1" s="53" t="s">
        <v>167</v>
      </c>
      <c r="B1" s="53"/>
    </row>
    <row r="3" spans="1:40" ht="29.25" customHeight="1">
      <c r="A3" s="43" t="s">
        <v>301</v>
      </c>
      <c r="C3" s="56"/>
      <c r="D3" s="114" t="s">
        <v>249</v>
      </c>
      <c r="E3" s="114"/>
      <c r="F3" s="114"/>
      <c r="G3" s="56"/>
      <c r="H3" s="114" t="s">
        <v>141</v>
      </c>
      <c r="I3" s="114"/>
      <c r="J3" s="114"/>
      <c r="K3" s="56"/>
      <c r="L3" s="114" t="s">
        <v>142</v>
      </c>
      <c r="M3" s="114"/>
      <c r="N3" s="114"/>
      <c r="O3" s="56"/>
      <c r="P3" s="114" t="s">
        <v>339</v>
      </c>
      <c r="Q3" s="114"/>
      <c r="R3" s="114"/>
      <c r="S3" s="56"/>
      <c r="T3" s="114" t="s">
        <v>148</v>
      </c>
      <c r="U3" s="114"/>
      <c r="V3" s="114"/>
      <c r="W3" s="56"/>
      <c r="X3" s="190" t="s">
        <v>300</v>
      </c>
      <c r="Y3" s="56"/>
      <c r="Z3" s="114" t="s">
        <v>143</v>
      </c>
      <c r="AA3" s="114"/>
      <c r="AB3" s="114"/>
      <c r="AC3" s="56"/>
      <c r="AD3" s="114" t="s">
        <v>410</v>
      </c>
      <c r="AE3" s="115"/>
      <c r="AF3" s="115"/>
      <c r="AH3" s="152" t="s">
        <v>356</v>
      </c>
      <c r="AJ3" s="114" t="s">
        <v>154</v>
      </c>
      <c r="AK3" s="115"/>
      <c r="AL3" s="115"/>
      <c r="AN3" s="190" t="s">
        <v>35</v>
      </c>
    </row>
    <row r="4" spans="1:40" ht="12.75">
      <c r="A4" s="46" t="s">
        <v>41</v>
      </c>
      <c r="B4" s="57"/>
      <c r="C4" s="85"/>
      <c r="D4" s="80" t="s">
        <v>250</v>
      </c>
      <c r="E4" s="85"/>
      <c r="F4" s="81" t="s">
        <v>84</v>
      </c>
      <c r="G4" s="85"/>
      <c r="H4" s="80" t="s">
        <v>250</v>
      </c>
      <c r="I4" s="85"/>
      <c r="J4" s="81" t="s">
        <v>84</v>
      </c>
      <c r="K4" s="85"/>
      <c r="L4" s="80" t="s">
        <v>250</v>
      </c>
      <c r="M4" s="85"/>
      <c r="N4" s="81" t="s">
        <v>84</v>
      </c>
      <c r="O4" s="85"/>
      <c r="P4" s="80" t="s">
        <v>250</v>
      </c>
      <c r="Q4" s="85"/>
      <c r="R4" s="81" t="s">
        <v>84</v>
      </c>
      <c r="S4" s="85"/>
      <c r="T4" s="80" t="s">
        <v>250</v>
      </c>
      <c r="U4" s="85"/>
      <c r="V4" s="81" t="s">
        <v>84</v>
      </c>
      <c r="W4" s="85"/>
      <c r="X4" s="80" t="s">
        <v>250</v>
      </c>
      <c r="Y4" s="84"/>
      <c r="Z4" s="80" t="s">
        <v>250</v>
      </c>
      <c r="AA4" s="80"/>
      <c r="AB4" s="121">
        <v>2003</v>
      </c>
      <c r="AC4" s="81"/>
      <c r="AD4" s="80" t="s">
        <v>250</v>
      </c>
      <c r="AE4" s="80"/>
      <c r="AF4" s="121">
        <v>2003</v>
      </c>
      <c r="AG4" s="81"/>
      <c r="AH4" s="80" t="s">
        <v>250</v>
      </c>
      <c r="AI4" s="81"/>
      <c r="AJ4" s="80" t="s">
        <v>250</v>
      </c>
      <c r="AK4" s="80"/>
      <c r="AL4" s="121">
        <v>2003</v>
      </c>
      <c r="AM4" s="81"/>
      <c r="AN4" s="80" t="s">
        <v>250</v>
      </c>
    </row>
    <row r="5" spans="32:38" ht="12.75">
      <c r="AF5" s="38"/>
      <c r="AJ5" s="47"/>
      <c r="AL5" s="38"/>
    </row>
    <row r="6" spans="1:38" ht="12.75">
      <c r="A6" s="59" t="s">
        <v>241</v>
      </c>
      <c r="AF6" s="38"/>
      <c r="AJ6" s="47"/>
      <c r="AL6" s="38"/>
    </row>
    <row r="7" spans="1:38" ht="12.75">
      <c r="A7" s="43" t="s">
        <v>298</v>
      </c>
      <c r="D7" s="47">
        <f>H7+L7+P7+T7+X7+Z7+AD7+AH7+AJ7+AN7</f>
        <v>659347</v>
      </c>
      <c r="F7" s="38">
        <f>J7+N7+R7+V7+AB7+AF7+AL7</f>
        <v>613570</v>
      </c>
      <c r="H7" s="47">
        <f>286335-138651</f>
        <v>147684</v>
      </c>
      <c r="J7" s="38">
        <v>128562</v>
      </c>
      <c r="L7" s="47">
        <f>125321-62997</f>
        <v>62324</v>
      </c>
      <c r="N7" s="38">
        <v>54966</v>
      </c>
      <c r="P7" s="47">
        <f>78109-35576</f>
        <v>42533</v>
      </c>
      <c r="R7" s="38">
        <v>45310</v>
      </c>
      <c r="T7" s="47">
        <f>20176-11304</f>
        <v>8872</v>
      </c>
      <c r="V7" s="38">
        <v>9323</v>
      </c>
      <c r="X7" s="47">
        <v>502</v>
      </c>
      <c r="Z7" s="47">
        <v>0</v>
      </c>
      <c r="AB7" s="38">
        <v>6643</v>
      </c>
      <c r="AD7" s="47">
        <f>65971+6206</f>
        <v>72177</v>
      </c>
      <c r="AF7" s="38">
        <f>67275+7528</f>
        <v>74803</v>
      </c>
      <c r="AH7" s="47">
        <v>34003</v>
      </c>
      <c r="AJ7" s="47">
        <f>316314-238873+213811</f>
        <v>291252</v>
      </c>
      <c r="AL7" s="38">
        <v>293963</v>
      </c>
    </row>
    <row r="8" spans="1:40" ht="12.75">
      <c r="A8" s="43" t="s">
        <v>101</v>
      </c>
      <c r="D8" s="47">
        <f>H8+L8+P8+T8+X8+Z8+AD8+AH8+AJ8+AN8</f>
        <v>1411339</v>
      </c>
      <c r="F8" s="38">
        <f>J8+N8+R8+V8+AB8+AF8+AL8</f>
        <v>1124528</v>
      </c>
      <c r="H8" s="47">
        <v>595316</v>
      </c>
      <c r="J8" s="38">
        <v>509817</v>
      </c>
      <c r="L8" s="47">
        <v>134827</v>
      </c>
      <c r="N8" s="38">
        <v>124650</v>
      </c>
      <c r="P8" s="47">
        <v>113981</v>
      </c>
      <c r="R8" s="38">
        <v>110898</v>
      </c>
      <c r="T8" s="47">
        <v>2226</v>
      </c>
      <c r="V8" s="38">
        <v>2370</v>
      </c>
      <c r="X8" s="47">
        <v>25</v>
      </c>
      <c r="Z8" s="47">
        <v>0</v>
      </c>
      <c r="AB8" s="38">
        <v>0</v>
      </c>
      <c r="AD8" s="47">
        <f>203733+6534</f>
        <v>210267</v>
      </c>
      <c r="AF8" s="38">
        <f>174739+5011</f>
        <v>179750</v>
      </c>
      <c r="AH8" s="47">
        <v>139961</v>
      </c>
      <c r="AJ8" s="47">
        <v>217236</v>
      </c>
      <c r="AL8" s="38">
        <v>197043</v>
      </c>
      <c r="AN8" s="47">
        <v>-2500</v>
      </c>
    </row>
    <row r="9" spans="1:38" ht="12.75">
      <c r="A9" s="43" t="s">
        <v>242</v>
      </c>
      <c r="D9" s="47">
        <f>H9+L9+P9+T9+X9+Z9+AD9+AH9+AJ9+AN9</f>
        <v>1062948</v>
      </c>
      <c r="F9" s="38">
        <f>J9+N9+R9+V9+AB9+AF9+AL9</f>
        <v>1715732</v>
      </c>
      <c r="AD9" s="47">
        <v>266908</v>
      </c>
      <c r="AF9" s="38">
        <v>215358</v>
      </c>
      <c r="AH9" s="47">
        <v>-523744</v>
      </c>
      <c r="AJ9" s="47">
        <v>1319784</v>
      </c>
      <c r="AL9" s="38">
        <v>1500374</v>
      </c>
    </row>
    <row r="10" spans="4:40" ht="4.5" customHeight="1">
      <c r="D10" s="49"/>
      <c r="F10" s="42"/>
      <c r="H10" s="49"/>
      <c r="J10" s="42"/>
      <c r="L10" s="49"/>
      <c r="N10" s="42"/>
      <c r="P10" s="49"/>
      <c r="R10" s="42"/>
      <c r="T10" s="49"/>
      <c r="V10" s="42"/>
      <c r="X10" s="49"/>
      <c r="Z10" s="49"/>
      <c r="AB10" s="42"/>
      <c r="AD10" s="49"/>
      <c r="AF10" s="42"/>
      <c r="AH10" s="46"/>
      <c r="AJ10" s="49"/>
      <c r="AL10" s="42"/>
      <c r="AN10" s="46"/>
    </row>
    <row r="11" spans="1:40" ht="12.75">
      <c r="A11" s="43" t="s">
        <v>46</v>
      </c>
      <c r="D11" s="47">
        <f>SUM(D7:D10)</f>
        <v>3133634</v>
      </c>
      <c r="F11" s="38">
        <f>SUM(F7:F10)</f>
        <v>3453830</v>
      </c>
      <c r="H11" s="47">
        <f>SUM(H7:H10)</f>
        <v>743000</v>
      </c>
      <c r="J11" s="38">
        <f>SUM(J7:J10)</f>
        <v>638379</v>
      </c>
      <c r="L11" s="47">
        <f>SUM(L7:L10)</f>
        <v>197151</v>
      </c>
      <c r="N11" s="38">
        <f>SUM(N7:N10)</f>
        <v>179616</v>
      </c>
      <c r="P11" s="47">
        <f>SUM(P7:P10)</f>
        <v>156514</v>
      </c>
      <c r="R11" s="38">
        <f>SUM(R7:R10)</f>
        <v>156208</v>
      </c>
      <c r="T11" s="47">
        <f>SUM(T7:T10)</f>
        <v>11098</v>
      </c>
      <c r="V11" s="38">
        <f>SUM(V7:V10)</f>
        <v>11693</v>
      </c>
      <c r="X11" s="47">
        <f>SUM(X7:X10)</f>
        <v>527</v>
      </c>
      <c r="Z11" s="47">
        <f>SUM(Z7:Z10)</f>
        <v>0</v>
      </c>
      <c r="AB11" s="38">
        <f>SUM(AB7:AB10)</f>
        <v>6643</v>
      </c>
      <c r="AD11" s="47">
        <f>SUM(AD7:AD10)</f>
        <v>549352</v>
      </c>
      <c r="AE11" s="38"/>
      <c r="AF11" s="38">
        <f>SUM(AF7:AF10)</f>
        <v>469911</v>
      </c>
      <c r="AG11" s="38"/>
      <c r="AH11" s="47">
        <f>SUM(AH7:AH10)</f>
        <v>-349780</v>
      </c>
      <c r="AI11" s="38"/>
      <c r="AJ11" s="47">
        <f>SUM(AJ7:AJ10)</f>
        <v>1828272</v>
      </c>
      <c r="AK11" s="38"/>
      <c r="AL11" s="38">
        <f>SUM(AL7:AL10)</f>
        <v>1991380</v>
      </c>
      <c r="AM11" s="38"/>
      <c r="AN11" s="47">
        <f>SUM(AN7:AN10)</f>
        <v>-2500</v>
      </c>
    </row>
    <row r="12" spans="4:40" ht="4.5" customHeight="1" thickBot="1">
      <c r="D12" s="72"/>
      <c r="F12" s="73"/>
      <c r="H12" s="72"/>
      <c r="J12" s="73"/>
      <c r="L12" s="72"/>
      <c r="N12" s="73"/>
      <c r="P12" s="72"/>
      <c r="R12" s="73"/>
      <c r="T12" s="72"/>
      <c r="V12" s="73"/>
      <c r="X12" s="72"/>
      <c r="Z12" s="72"/>
      <c r="AB12" s="73"/>
      <c r="AD12" s="72"/>
      <c r="AF12" s="73"/>
      <c r="AH12" s="147"/>
      <c r="AJ12" s="72"/>
      <c r="AL12" s="73"/>
      <c r="AN12" s="147"/>
    </row>
    <row r="13" spans="32:38" ht="12.75">
      <c r="AF13" s="38"/>
      <c r="AJ13" s="47"/>
      <c r="AL13" s="38"/>
    </row>
    <row r="14" spans="1:38" ht="12.75">
      <c r="A14" s="59" t="s">
        <v>243</v>
      </c>
      <c r="AF14" s="38"/>
      <c r="AJ14" s="47"/>
      <c r="AL14" s="38"/>
    </row>
    <row r="15" spans="1:40" ht="12.75">
      <c r="A15" s="43" t="s">
        <v>40</v>
      </c>
      <c r="D15" s="47">
        <f>H15+L15+P15+T15+X15+Z15+AD15+AH15+AJ15+AN15</f>
        <v>7394151</v>
      </c>
      <c r="F15" s="38">
        <f>J15+N15+R15+V15+AB15+AF15+AL15</f>
        <v>5747958</v>
      </c>
      <c r="H15" s="47">
        <f>3266064+1</f>
        <v>3266065</v>
      </c>
      <c r="J15" s="38">
        <v>2997226</v>
      </c>
      <c r="L15" s="47">
        <v>878703</v>
      </c>
      <c r="N15" s="38">
        <v>771441</v>
      </c>
      <c r="P15" s="47">
        <v>544221</v>
      </c>
      <c r="R15" s="38">
        <v>482287</v>
      </c>
      <c r="T15" s="47">
        <v>51276</v>
      </c>
      <c r="V15" s="38">
        <v>45781</v>
      </c>
      <c r="X15" s="47">
        <v>358</v>
      </c>
      <c r="Z15" s="48">
        <v>0</v>
      </c>
      <c r="AA15" s="51"/>
      <c r="AB15" s="51">
        <v>0</v>
      </c>
      <c r="AD15" s="47">
        <f>2293013+16526</f>
        <v>2309539</v>
      </c>
      <c r="AF15" s="38">
        <f>1431304+19919</f>
        <v>1451223</v>
      </c>
      <c r="AH15" s="47">
        <v>523242</v>
      </c>
      <c r="AJ15" s="48">
        <f>5467</f>
        <v>5467</v>
      </c>
      <c r="AK15" s="50"/>
      <c r="AL15" s="51">
        <v>0</v>
      </c>
      <c r="AN15" s="48">
        <v>-184720</v>
      </c>
    </row>
    <row r="16" spans="4:40" ht="4.5" customHeight="1" thickBot="1">
      <c r="D16" s="72"/>
      <c r="F16" s="73"/>
      <c r="H16" s="72"/>
      <c r="J16" s="73"/>
      <c r="L16" s="72"/>
      <c r="N16" s="73"/>
      <c r="P16" s="72"/>
      <c r="R16" s="73"/>
      <c r="T16" s="72"/>
      <c r="V16" s="73"/>
      <c r="X16" s="72"/>
      <c r="Z16" s="48"/>
      <c r="AA16" s="51"/>
      <c r="AB16" s="51"/>
      <c r="AD16" s="72"/>
      <c r="AF16" s="73"/>
      <c r="AH16" s="147"/>
      <c r="AJ16" s="73"/>
      <c r="AK16" s="50"/>
      <c r="AL16" s="51"/>
      <c r="AN16" s="147"/>
    </row>
    <row r="17" spans="3:40" s="50" customFormat="1" ht="4.5" customHeight="1">
      <c r="C17" s="51"/>
      <c r="D17" s="48"/>
      <c r="E17" s="51"/>
      <c r="F17" s="51"/>
      <c r="G17" s="51"/>
      <c r="H17" s="48"/>
      <c r="I17" s="51"/>
      <c r="J17" s="51"/>
      <c r="K17" s="51"/>
      <c r="L17" s="48"/>
      <c r="M17" s="51"/>
      <c r="N17" s="51"/>
      <c r="O17" s="51"/>
      <c r="P17" s="48"/>
      <c r="Q17" s="51"/>
      <c r="R17" s="51"/>
      <c r="S17" s="51"/>
      <c r="T17" s="48"/>
      <c r="U17" s="51"/>
      <c r="V17" s="51"/>
      <c r="W17" s="51"/>
      <c r="X17" s="48"/>
      <c r="Y17" s="51"/>
      <c r="Z17" s="144"/>
      <c r="AA17" s="51"/>
      <c r="AB17" s="144"/>
      <c r="AC17" s="51"/>
      <c r="AD17" s="48"/>
      <c r="AF17" s="51"/>
      <c r="AH17" s="74"/>
      <c r="AJ17" s="48"/>
      <c r="AL17" s="144"/>
      <c r="AN17" s="74"/>
    </row>
    <row r="18" spans="1:40" ht="12.75">
      <c r="A18" s="43" t="s">
        <v>244</v>
      </c>
      <c r="D18" s="47">
        <f>H18+L18+P18+T18+X18+Z18+AD18+AH18+AJ18+AN18</f>
        <v>399411</v>
      </c>
      <c r="F18" s="38">
        <f>J18+N18+R18+V18+AB18+AF18+AL18</f>
        <v>332656</v>
      </c>
      <c r="H18" s="47">
        <v>357260</v>
      </c>
      <c r="J18" s="38">
        <v>344865</v>
      </c>
      <c r="L18" s="47">
        <v>17292</v>
      </c>
      <c r="N18" s="38">
        <v>15429</v>
      </c>
      <c r="P18" s="47">
        <v>36775</v>
      </c>
      <c r="R18" s="38">
        <v>44608</v>
      </c>
      <c r="T18" s="47">
        <v>10081</v>
      </c>
      <c r="V18" s="38">
        <v>10435</v>
      </c>
      <c r="X18" s="47">
        <v>-211</v>
      </c>
      <c r="Z18" s="47">
        <v>-1356</v>
      </c>
      <c r="AB18" s="38">
        <v>-962</v>
      </c>
      <c r="AD18" s="47">
        <v>75600</v>
      </c>
      <c r="AF18" s="38">
        <f>54304-2712</f>
        <v>51592</v>
      </c>
      <c r="AH18" s="47">
        <v>-5526</v>
      </c>
      <c r="AJ18" s="47">
        <v>-88004</v>
      </c>
      <c r="AL18" s="38">
        <v>-133311</v>
      </c>
      <c r="AN18" s="48">
        <v>-2500</v>
      </c>
    </row>
    <row r="19" spans="1:40" s="50" customFormat="1" ht="12.75">
      <c r="A19" s="50" t="s">
        <v>175</v>
      </c>
      <c r="C19" s="51"/>
      <c r="D19" s="47">
        <f>H19+L19+P19+T19+X19+Z19+AD19+AH19+AJ19+AN19</f>
        <v>0</v>
      </c>
      <c r="E19" s="38"/>
      <c r="F19" s="38">
        <f>J19+N19+R19+V19+AB19+AF19+AL19</f>
        <v>0</v>
      </c>
      <c r="G19" s="51"/>
      <c r="H19" s="48">
        <v>53085</v>
      </c>
      <c r="I19" s="48"/>
      <c r="J19" s="51">
        <v>85584</v>
      </c>
      <c r="K19" s="48"/>
      <c r="L19" s="48">
        <v>11559</v>
      </c>
      <c r="M19" s="48"/>
      <c r="N19" s="51">
        <v>21000</v>
      </c>
      <c r="O19" s="48"/>
      <c r="P19" s="48">
        <v>16181</v>
      </c>
      <c r="Q19" s="51"/>
      <c r="R19" s="51">
        <v>18933</v>
      </c>
      <c r="S19" s="48"/>
      <c r="T19" s="48">
        <v>-177</v>
      </c>
      <c r="U19" s="48"/>
      <c r="V19" s="51">
        <v>418</v>
      </c>
      <c r="W19" s="48"/>
      <c r="X19" s="48"/>
      <c r="Y19" s="48"/>
      <c r="Z19" s="48"/>
      <c r="AA19" s="48"/>
      <c r="AB19" s="51"/>
      <c r="AC19" s="48"/>
      <c r="AD19" s="48"/>
      <c r="AE19" s="48"/>
      <c r="AF19" s="51"/>
      <c r="AG19" s="48"/>
      <c r="AH19" s="48"/>
      <c r="AI19" s="48"/>
      <c r="AJ19" s="48">
        <v>-80648</v>
      </c>
      <c r="AK19" s="48"/>
      <c r="AL19" s="51">
        <v>-125935</v>
      </c>
      <c r="AN19" s="74"/>
    </row>
    <row r="20" spans="4:40" ht="4.5" customHeight="1">
      <c r="D20" s="49"/>
      <c r="F20" s="42"/>
      <c r="H20" s="49"/>
      <c r="J20" s="42"/>
      <c r="L20" s="49"/>
      <c r="N20" s="42"/>
      <c r="P20" s="49"/>
      <c r="R20" s="42"/>
      <c r="T20" s="49"/>
      <c r="V20" s="42"/>
      <c r="X20" s="49"/>
      <c r="Z20" s="49"/>
      <c r="AB20" s="42"/>
      <c r="AD20" s="49"/>
      <c r="AF20" s="42"/>
      <c r="AH20" s="46"/>
      <c r="AJ20" s="49"/>
      <c r="AL20" s="42"/>
      <c r="AN20" s="46"/>
    </row>
    <row r="21" spans="1:40" ht="12.75">
      <c r="A21" s="43" t="s">
        <v>245</v>
      </c>
      <c r="D21" s="47">
        <f>H21+L21+P21+T21+X21+Z21+AD21+AH21+AJ21+AN21</f>
        <v>399411</v>
      </c>
      <c r="F21" s="38">
        <f>J21+N21+R21+V21+AB21+AF21+AL21</f>
        <v>332656</v>
      </c>
      <c r="H21" s="47">
        <f>H18-H19</f>
        <v>304175</v>
      </c>
      <c r="I21" s="47"/>
      <c r="J21" s="38">
        <f aca="true" t="shared" si="0" ref="J21:AH21">J18-J19</f>
        <v>259281</v>
      </c>
      <c r="K21" s="47"/>
      <c r="L21" s="47">
        <f t="shared" si="0"/>
        <v>5733</v>
      </c>
      <c r="M21" s="47"/>
      <c r="N21" s="38">
        <f t="shared" si="0"/>
        <v>-5571</v>
      </c>
      <c r="O21" s="47"/>
      <c r="P21" s="47">
        <f t="shared" si="0"/>
        <v>20594</v>
      </c>
      <c r="Q21" s="47"/>
      <c r="R21" s="38">
        <f t="shared" si="0"/>
        <v>25675</v>
      </c>
      <c r="S21" s="47"/>
      <c r="T21" s="47">
        <f t="shared" si="0"/>
        <v>10258</v>
      </c>
      <c r="U21" s="47"/>
      <c r="V21" s="38">
        <f>V18-V19</f>
        <v>10017</v>
      </c>
      <c r="W21" s="47"/>
      <c r="X21" s="47">
        <f t="shared" si="0"/>
        <v>-211</v>
      </c>
      <c r="Y21" s="47"/>
      <c r="Z21" s="47">
        <f t="shared" si="0"/>
        <v>-1356</v>
      </c>
      <c r="AA21" s="47">
        <f t="shared" si="0"/>
        <v>0</v>
      </c>
      <c r="AB21" s="38">
        <f t="shared" si="0"/>
        <v>-962</v>
      </c>
      <c r="AC21" s="47"/>
      <c r="AD21" s="47">
        <f t="shared" si="0"/>
        <v>75600</v>
      </c>
      <c r="AE21" s="47">
        <f t="shared" si="0"/>
        <v>0</v>
      </c>
      <c r="AF21" s="38">
        <f t="shared" si="0"/>
        <v>51592</v>
      </c>
      <c r="AG21" s="47">
        <f t="shared" si="0"/>
        <v>0</v>
      </c>
      <c r="AH21" s="47">
        <f t="shared" si="0"/>
        <v>-5526</v>
      </c>
      <c r="AJ21" s="47">
        <f>AJ18-AJ19</f>
        <v>-7356</v>
      </c>
      <c r="AL21" s="38">
        <f>AL18-AL19</f>
        <v>-7376</v>
      </c>
      <c r="AN21" s="47">
        <f>AN18-AN19</f>
        <v>-2500</v>
      </c>
    </row>
    <row r="22" spans="4:40" ht="4.5" customHeight="1" thickBot="1">
      <c r="D22" s="72"/>
      <c r="F22" s="73"/>
      <c r="H22" s="72"/>
      <c r="J22" s="73"/>
      <c r="L22" s="72"/>
      <c r="N22" s="73"/>
      <c r="P22" s="72"/>
      <c r="R22" s="73"/>
      <c r="T22" s="72"/>
      <c r="V22" s="73"/>
      <c r="X22" s="72"/>
      <c r="Z22" s="72"/>
      <c r="AB22" s="73"/>
      <c r="AD22" s="72"/>
      <c r="AF22" s="73"/>
      <c r="AH22" s="147"/>
      <c r="AJ22" s="72"/>
      <c r="AL22" s="73"/>
      <c r="AN22" s="147"/>
    </row>
    <row r="24" spans="1:3" ht="12.75">
      <c r="A24" s="59" t="s">
        <v>246</v>
      </c>
      <c r="C24" s="43"/>
    </row>
    <row r="25" spans="1:40" ht="12.75">
      <c r="A25" s="43" t="s">
        <v>176</v>
      </c>
      <c r="B25" s="43" t="s">
        <v>51</v>
      </c>
      <c r="C25" s="43"/>
      <c r="D25" s="171">
        <f>+D21/D15*100</f>
        <v>5.401715491068549</v>
      </c>
      <c r="E25" s="173"/>
      <c r="F25" s="173">
        <f>+F21/F15*100</f>
        <v>5.7873770128452575</v>
      </c>
      <c r="G25" s="173"/>
      <c r="H25" s="171">
        <f>+H21/H15*100</f>
        <v>9.31319493029073</v>
      </c>
      <c r="I25" s="173"/>
      <c r="J25" s="173">
        <f>+J21/J15*100</f>
        <v>8.650699013020706</v>
      </c>
      <c r="K25" s="173"/>
      <c r="L25" s="171">
        <f>+L21/L15*100</f>
        <v>0.6524388786654877</v>
      </c>
      <c r="M25" s="173"/>
      <c r="N25" s="173">
        <f>+N21/N15*100</f>
        <v>-0.7221550319467075</v>
      </c>
      <c r="O25" s="173"/>
      <c r="P25" s="171">
        <f>+P21/P15*100</f>
        <v>3.7841244641423244</v>
      </c>
      <c r="Q25" s="173"/>
      <c r="R25" s="173">
        <f>+R21/R15*100</f>
        <v>5.323593627860589</v>
      </c>
      <c r="S25" s="173"/>
      <c r="T25" s="171">
        <f>+T21/T15*100</f>
        <v>20.005460644356035</v>
      </c>
      <c r="U25" s="173"/>
      <c r="V25" s="173">
        <f>+V21/V15*100</f>
        <v>21.88025600139796</v>
      </c>
      <c r="W25" s="173"/>
      <c r="X25" s="171"/>
      <c r="Y25" s="173"/>
      <c r="Z25" s="171"/>
      <c r="AA25" s="173"/>
      <c r="AB25" s="173"/>
      <c r="AC25" s="173"/>
      <c r="AD25" s="171">
        <f>+AD21/AD15*100</f>
        <v>3.2733805317857807</v>
      </c>
      <c r="AE25" s="173"/>
      <c r="AF25" s="173">
        <f>+AF21/AF15*100</f>
        <v>3.5550704474777484</v>
      </c>
      <c r="AG25" s="173"/>
      <c r="AH25" s="171"/>
      <c r="AI25" s="173"/>
      <c r="AJ25" s="172"/>
      <c r="AK25" s="172"/>
      <c r="AL25" s="172"/>
      <c r="AM25" s="172"/>
      <c r="AN25" s="191"/>
    </row>
    <row r="26" spans="1:40" ht="12.75">
      <c r="A26" s="43" t="s">
        <v>247</v>
      </c>
      <c r="B26" s="43" t="s">
        <v>51</v>
      </c>
      <c r="C26" s="43"/>
      <c r="D26" s="171"/>
      <c r="E26" s="173"/>
      <c r="F26" s="173"/>
      <c r="G26" s="173"/>
      <c r="H26" s="171">
        <v>0.3</v>
      </c>
      <c r="I26" s="173"/>
      <c r="J26" s="173">
        <v>5</v>
      </c>
      <c r="K26" s="173"/>
      <c r="L26" s="171">
        <v>-0.9</v>
      </c>
      <c r="M26" s="173"/>
      <c r="N26" s="173">
        <v>5.9</v>
      </c>
      <c r="O26" s="173"/>
      <c r="P26" s="171"/>
      <c r="Q26" s="173"/>
      <c r="R26" s="173"/>
      <c r="S26" s="173"/>
      <c r="T26" s="171"/>
      <c r="U26" s="173"/>
      <c r="V26" s="173"/>
      <c r="W26" s="173"/>
      <c r="X26" s="171"/>
      <c r="Y26" s="173"/>
      <c r="Z26" s="171"/>
      <c r="AA26" s="173"/>
      <c r="AB26" s="173"/>
      <c r="AC26" s="173"/>
      <c r="AD26" s="171"/>
      <c r="AE26" s="173"/>
      <c r="AF26" s="172"/>
      <c r="AG26" s="173"/>
      <c r="AH26" s="171"/>
      <c r="AI26" s="173"/>
      <c r="AJ26" s="172"/>
      <c r="AK26" s="172"/>
      <c r="AL26" s="172"/>
      <c r="AM26" s="172"/>
      <c r="AN26" s="191"/>
    </row>
    <row r="27" spans="1:34" ht="12.75">
      <c r="A27" s="43" t="s">
        <v>59</v>
      </c>
      <c r="C27" s="43"/>
      <c r="AH27" s="47"/>
    </row>
    <row r="28" spans="1:34" ht="12.75">
      <c r="A28" s="145" t="s">
        <v>60</v>
      </c>
      <c r="B28" s="145"/>
      <c r="C28" s="43"/>
      <c r="D28" s="47">
        <f>H28+L28+P28+T28+X28+Z28+AD28+AH28+AJ28+AN28</f>
        <v>681</v>
      </c>
      <c r="F28" s="38">
        <f>J28+N28+R28+V28+AB28+AF28+AL28</f>
        <v>593</v>
      </c>
      <c r="H28" s="47">
        <v>264</v>
      </c>
      <c r="J28" s="38">
        <v>260</v>
      </c>
      <c r="L28" s="47">
        <v>173</v>
      </c>
      <c r="N28" s="38">
        <v>177</v>
      </c>
      <c r="P28" s="47">
        <v>138</v>
      </c>
      <c r="R28" s="38">
        <v>138</v>
      </c>
      <c r="T28" s="47">
        <v>24</v>
      </c>
      <c r="V28" s="38">
        <v>18</v>
      </c>
      <c r="X28" s="47">
        <v>2</v>
      </c>
      <c r="AH28" s="47">
        <v>80</v>
      </c>
    </row>
    <row r="29" spans="1:34" ht="12.75">
      <c r="A29" s="145" t="s">
        <v>61</v>
      </c>
      <c r="B29" s="145"/>
      <c r="C29" s="43"/>
      <c r="D29" s="47">
        <f>H29+L29+P29+T29+X29+Z29+AD29+AH29+AJ29+AN29</f>
        <v>233</v>
      </c>
      <c r="F29" s="38">
        <f>J29+N29+R29+V29+AB29+AF29+AL29</f>
        <v>321</v>
      </c>
      <c r="H29" s="47">
        <v>14</v>
      </c>
      <c r="J29" s="38">
        <v>14</v>
      </c>
      <c r="L29" s="47">
        <v>1</v>
      </c>
      <c r="N29" s="38">
        <v>1</v>
      </c>
      <c r="P29" s="47">
        <v>0</v>
      </c>
      <c r="R29" s="38">
        <v>0</v>
      </c>
      <c r="T29" s="47">
        <v>0</v>
      </c>
      <c r="V29" s="38">
        <v>0</v>
      </c>
      <c r="X29" s="47">
        <v>0</v>
      </c>
      <c r="AD29" s="47">
        <v>218</v>
      </c>
      <c r="AF29" s="43">
        <v>306</v>
      </c>
      <c r="AH29" s="47">
        <v>0</v>
      </c>
    </row>
    <row r="30" spans="1:34" ht="12.75">
      <c r="A30" s="43" t="s">
        <v>248</v>
      </c>
      <c r="B30" s="43" t="s">
        <v>116</v>
      </c>
      <c r="C30" s="43"/>
      <c r="D30" s="47">
        <f>H30+L30+P30+T30+X30+Z30+AD30+AH30+AJ30+AN30</f>
        <v>249077</v>
      </c>
      <c r="F30" s="38">
        <f>J30+N30+R30+V30+AB30+AF30+AL30</f>
        <v>207526</v>
      </c>
      <c r="H30" s="47">
        <v>144916</v>
      </c>
      <c r="J30" s="38">
        <v>140099</v>
      </c>
      <c r="L30" s="47">
        <v>49638</v>
      </c>
      <c r="N30" s="38">
        <v>49351</v>
      </c>
      <c r="P30" s="47">
        <v>17349</v>
      </c>
      <c r="R30" s="38">
        <v>17134</v>
      </c>
      <c r="T30" s="47">
        <v>1214</v>
      </c>
      <c r="V30" s="38">
        <v>942</v>
      </c>
      <c r="X30" s="47">
        <v>172</v>
      </c>
      <c r="AH30" s="47">
        <v>35788</v>
      </c>
    </row>
    <row r="31" spans="1:34" ht="12.75">
      <c r="A31" s="43" t="s">
        <v>115</v>
      </c>
      <c r="B31" s="43" t="s">
        <v>117</v>
      </c>
      <c r="C31" s="43"/>
      <c r="D31" s="47">
        <f>H31+L31+P31+T31+X31+Z31+AD31+AH31+AJ31+AN31</f>
        <v>147418.28275833646</v>
      </c>
      <c r="F31" s="38">
        <f>J31+N31+R31+V31+AB31+AF31+AL31</f>
        <v>113773.36791842227</v>
      </c>
      <c r="H31" s="47">
        <f>((H15*1000)/H30)</f>
        <v>22537.64249634271</v>
      </c>
      <c r="J31" s="38">
        <f>((J15*1000)/J30)</f>
        <v>21393.62879106917</v>
      </c>
      <c r="L31" s="47">
        <v>17702</v>
      </c>
      <c r="N31" s="38">
        <v>15632</v>
      </c>
      <c r="P31" s="47">
        <f>((P15*1000)/P30)</f>
        <v>31369.01262320595</v>
      </c>
      <c r="R31" s="38">
        <f>((R15*1000)/R30)</f>
        <v>28147.95144157815</v>
      </c>
      <c r="T31" s="47">
        <f>((T15*1000)/T30)</f>
        <v>42237.232289950574</v>
      </c>
      <c r="V31" s="38">
        <f>((V15*1000)/V30)</f>
        <v>48599.78768577494</v>
      </c>
      <c r="X31" s="47">
        <f>((X15*1000)/X30)</f>
        <v>2081.3953488372094</v>
      </c>
      <c r="AH31" s="47">
        <v>31491</v>
      </c>
    </row>
    <row r="32" spans="1:38" ht="12.75">
      <c r="A32" s="146" t="s">
        <v>58</v>
      </c>
      <c r="C32" s="43"/>
      <c r="D32" s="47">
        <f>H32+L32+P32+T32+X32+Z32+AD32+AH32+AJ32+AN32</f>
        <v>9011</v>
      </c>
      <c r="F32" s="38">
        <f>J32+N32+R32+V32+AB32+AF32+AL32</f>
        <v>6995</v>
      </c>
      <c r="H32" s="47">
        <v>3897</v>
      </c>
      <c r="J32" s="38">
        <v>3552</v>
      </c>
      <c r="L32" s="47">
        <v>1792</v>
      </c>
      <c r="N32" s="38">
        <v>1335</v>
      </c>
      <c r="P32" s="47">
        <v>592</v>
      </c>
      <c r="R32" s="38">
        <v>545</v>
      </c>
      <c r="T32" s="47">
        <v>76</v>
      </c>
      <c r="V32" s="38">
        <v>75</v>
      </c>
      <c r="X32" s="47">
        <v>15</v>
      </c>
      <c r="AD32" s="47">
        <f>502+17</f>
        <v>519</v>
      </c>
      <c r="AF32" s="38">
        <f>576+28</f>
        <v>604</v>
      </c>
      <c r="AH32" s="47">
        <v>1365</v>
      </c>
      <c r="AJ32" s="47">
        <v>755</v>
      </c>
      <c r="AL32" s="43">
        <v>884</v>
      </c>
    </row>
    <row r="33" spans="2:30" ht="12.75">
      <c r="B33" s="38"/>
      <c r="C33" s="47"/>
      <c r="D33" s="38"/>
      <c r="G33" s="47"/>
      <c r="H33" s="38"/>
      <c r="K33" s="47"/>
      <c r="L33" s="38"/>
      <c r="O33" s="47"/>
      <c r="P33" s="38"/>
      <c r="S33" s="47"/>
      <c r="T33" s="38"/>
      <c r="W33" s="47"/>
      <c r="Y33" s="47"/>
      <c r="Z33" s="38"/>
      <c r="AC33" s="47"/>
      <c r="AD33" s="43"/>
    </row>
    <row r="34" spans="2:30" ht="12.75">
      <c r="B34" s="38"/>
      <c r="C34" s="47"/>
      <c r="D34" s="38"/>
      <c r="G34" s="47"/>
      <c r="H34" s="38"/>
      <c r="K34" s="47"/>
      <c r="L34" s="38"/>
      <c r="O34" s="47"/>
      <c r="P34" s="38"/>
      <c r="S34" s="47"/>
      <c r="T34" s="38"/>
      <c r="W34" s="47"/>
      <c r="Y34" s="47"/>
      <c r="Z34" s="38"/>
      <c r="AC34" s="47"/>
      <c r="AD34" s="43"/>
    </row>
    <row r="35" spans="1:40" s="50" customFormat="1" ht="18">
      <c r="A35" s="161"/>
      <c r="B35" s="161"/>
      <c r="C35" s="51"/>
      <c r="D35" s="48"/>
      <c r="E35" s="51"/>
      <c r="F35" s="51"/>
      <c r="G35" s="51"/>
      <c r="H35" s="48"/>
      <c r="I35" s="51"/>
      <c r="J35" s="51"/>
      <c r="K35" s="51"/>
      <c r="L35" s="48"/>
      <c r="M35" s="51"/>
      <c r="N35" s="51"/>
      <c r="O35" s="51"/>
      <c r="P35" s="48"/>
      <c r="X35" s="74"/>
      <c r="AH35" s="74"/>
      <c r="AN35" s="74"/>
    </row>
    <row r="36" spans="3:40" s="50" customFormat="1" ht="12.75">
      <c r="C36" s="51"/>
      <c r="D36" s="48"/>
      <c r="E36" s="51"/>
      <c r="F36" s="51"/>
      <c r="G36" s="51"/>
      <c r="H36" s="48"/>
      <c r="I36" s="51"/>
      <c r="J36" s="51"/>
      <c r="K36" s="51"/>
      <c r="L36" s="48"/>
      <c r="M36" s="51"/>
      <c r="N36" s="51"/>
      <c r="O36" s="51"/>
      <c r="P36" s="48"/>
      <c r="X36" s="74"/>
      <c r="AH36" s="74"/>
      <c r="AN36" s="74"/>
    </row>
    <row r="37" spans="1:40" s="50" customFormat="1" ht="12.75">
      <c r="A37" s="162"/>
      <c r="C37" s="77"/>
      <c r="D37" s="77"/>
      <c r="E37" s="77"/>
      <c r="F37" s="77"/>
      <c r="G37" s="77"/>
      <c r="H37" s="86"/>
      <c r="I37" s="86"/>
      <c r="J37" s="86"/>
      <c r="K37" s="77"/>
      <c r="L37" s="86"/>
      <c r="M37" s="86"/>
      <c r="N37" s="86"/>
      <c r="O37" s="77"/>
      <c r="P37" s="86"/>
      <c r="Q37" s="86"/>
      <c r="R37" s="86"/>
      <c r="S37" s="77"/>
      <c r="T37" s="86"/>
      <c r="U37" s="86"/>
      <c r="V37" s="86"/>
      <c r="W37" s="77"/>
      <c r="X37" s="74"/>
      <c r="Z37" s="86"/>
      <c r="AA37" s="86"/>
      <c r="AB37" s="86"/>
      <c r="AH37" s="74"/>
      <c r="AN37" s="74"/>
    </row>
    <row r="38" spans="1:40" s="50" customFormat="1" ht="12.75">
      <c r="A38" s="163"/>
      <c r="C38" s="77"/>
      <c r="D38" s="87"/>
      <c r="E38" s="75"/>
      <c r="F38" s="88"/>
      <c r="G38" s="77"/>
      <c r="H38" s="87"/>
      <c r="I38" s="75"/>
      <c r="J38" s="88"/>
      <c r="K38" s="77"/>
      <c r="L38" s="87"/>
      <c r="M38" s="75"/>
      <c r="N38" s="88"/>
      <c r="O38" s="77"/>
      <c r="P38" s="87"/>
      <c r="Q38" s="75"/>
      <c r="R38" s="88"/>
      <c r="S38" s="77"/>
      <c r="T38" s="87"/>
      <c r="U38" s="75"/>
      <c r="V38" s="88"/>
      <c r="W38" s="77"/>
      <c r="X38" s="75"/>
      <c r="Y38" s="77"/>
      <c r="Z38" s="87"/>
      <c r="AA38" s="75"/>
      <c r="AB38" s="88"/>
      <c r="AH38" s="74"/>
      <c r="AN38" s="74"/>
    </row>
    <row r="39" spans="1:40" s="50" customFormat="1" ht="12.75">
      <c r="A39" s="74"/>
      <c r="C39" s="77"/>
      <c r="D39" s="89"/>
      <c r="E39" s="77"/>
      <c r="F39" s="76"/>
      <c r="G39" s="77"/>
      <c r="H39" s="89"/>
      <c r="I39" s="77"/>
      <c r="J39" s="76"/>
      <c r="K39" s="77"/>
      <c r="L39" s="89"/>
      <c r="M39" s="77"/>
      <c r="N39" s="76"/>
      <c r="O39" s="77"/>
      <c r="P39" s="89"/>
      <c r="Q39" s="77"/>
      <c r="R39" s="76"/>
      <c r="S39" s="77"/>
      <c r="T39" s="89"/>
      <c r="U39" s="77"/>
      <c r="V39" s="76"/>
      <c r="W39" s="77"/>
      <c r="X39" s="75"/>
      <c r="Y39" s="77"/>
      <c r="Z39" s="89"/>
      <c r="AA39" s="77"/>
      <c r="AB39" s="76"/>
      <c r="AH39" s="74"/>
      <c r="AN39" s="74"/>
    </row>
    <row r="40" spans="3:40" s="50" customFormat="1" ht="12.75">
      <c r="C40" s="51"/>
      <c r="D40" s="51"/>
      <c r="E40" s="51"/>
      <c r="F40" s="51"/>
      <c r="G40" s="51"/>
      <c r="H40" s="48"/>
      <c r="I40" s="51"/>
      <c r="J40" s="51"/>
      <c r="K40" s="51"/>
      <c r="L40" s="48"/>
      <c r="M40" s="51"/>
      <c r="N40" s="51"/>
      <c r="O40" s="51"/>
      <c r="P40" s="48"/>
      <c r="Q40" s="51"/>
      <c r="R40" s="51"/>
      <c r="S40" s="51"/>
      <c r="T40" s="48"/>
      <c r="U40" s="51"/>
      <c r="V40" s="51"/>
      <c r="W40" s="51"/>
      <c r="X40" s="74"/>
      <c r="AH40" s="74"/>
      <c r="AN40" s="74"/>
    </row>
    <row r="41" spans="1:40" s="50" customFormat="1" ht="12.75">
      <c r="A41" s="74"/>
      <c r="C41" s="51"/>
      <c r="D41" s="51"/>
      <c r="E41" s="51"/>
      <c r="F41" s="51"/>
      <c r="G41" s="51"/>
      <c r="H41" s="48"/>
      <c r="I41" s="51"/>
      <c r="J41" s="51"/>
      <c r="K41" s="51"/>
      <c r="L41" s="48"/>
      <c r="M41" s="51"/>
      <c r="N41" s="51"/>
      <c r="O41" s="51"/>
      <c r="P41" s="48"/>
      <c r="Q41" s="51"/>
      <c r="R41" s="51"/>
      <c r="S41" s="51"/>
      <c r="T41" s="48"/>
      <c r="U41" s="51"/>
      <c r="V41" s="51"/>
      <c r="W41" s="51"/>
      <c r="X41" s="74"/>
      <c r="AH41" s="74"/>
      <c r="AN41" s="74"/>
    </row>
    <row r="42" spans="3:40" s="50" customFormat="1" ht="12.75">
      <c r="C42" s="51"/>
      <c r="D42" s="48"/>
      <c r="E42" s="51"/>
      <c r="F42" s="51"/>
      <c r="G42" s="51"/>
      <c r="H42" s="48"/>
      <c r="I42" s="51"/>
      <c r="J42" s="51"/>
      <c r="K42" s="51"/>
      <c r="L42" s="48"/>
      <c r="M42" s="51"/>
      <c r="N42" s="51"/>
      <c r="O42" s="51"/>
      <c r="P42" s="48"/>
      <c r="Q42" s="51"/>
      <c r="R42" s="51"/>
      <c r="S42" s="51"/>
      <c r="T42" s="48"/>
      <c r="U42" s="51"/>
      <c r="V42" s="51"/>
      <c r="W42" s="51"/>
      <c r="X42" s="74"/>
      <c r="AH42" s="74"/>
      <c r="AN42" s="74"/>
    </row>
    <row r="43" spans="3:40" s="50" customFormat="1" ht="4.5" customHeight="1">
      <c r="C43" s="51"/>
      <c r="D43" s="48"/>
      <c r="E43" s="51"/>
      <c r="F43" s="51"/>
      <c r="G43" s="51"/>
      <c r="H43" s="48"/>
      <c r="I43" s="51"/>
      <c r="J43" s="51"/>
      <c r="K43" s="51"/>
      <c r="L43" s="48"/>
      <c r="M43" s="51"/>
      <c r="N43" s="51"/>
      <c r="O43" s="51"/>
      <c r="P43" s="48"/>
      <c r="Q43" s="51"/>
      <c r="R43" s="51"/>
      <c r="S43" s="51"/>
      <c r="T43" s="48"/>
      <c r="U43" s="51"/>
      <c r="V43" s="51"/>
      <c r="W43" s="51"/>
      <c r="X43" s="48"/>
      <c r="Y43" s="51"/>
      <c r="Z43" s="48"/>
      <c r="AA43" s="51"/>
      <c r="AB43" s="51"/>
      <c r="AC43" s="51"/>
      <c r="AD43" s="48"/>
      <c r="AE43" s="51"/>
      <c r="AF43" s="51"/>
      <c r="AG43" s="51"/>
      <c r="AH43" s="48"/>
      <c r="AI43" s="51"/>
      <c r="AJ43" s="48"/>
      <c r="AK43" s="51"/>
      <c r="AL43" s="51"/>
      <c r="AM43" s="51"/>
      <c r="AN43" s="48"/>
    </row>
    <row r="44" spans="3:40" s="50" customFormat="1" ht="4.5" customHeight="1">
      <c r="C44" s="51"/>
      <c r="D44" s="48"/>
      <c r="E44" s="51"/>
      <c r="F44" s="51"/>
      <c r="G44" s="51"/>
      <c r="H44" s="48"/>
      <c r="I44" s="51"/>
      <c r="J44" s="51"/>
      <c r="K44" s="51"/>
      <c r="L44" s="48"/>
      <c r="M44" s="51"/>
      <c r="N44" s="51"/>
      <c r="O44" s="51"/>
      <c r="P44" s="48"/>
      <c r="Q44" s="51"/>
      <c r="R44" s="51"/>
      <c r="S44" s="51"/>
      <c r="T44" s="48"/>
      <c r="U44" s="51"/>
      <c r="V44" s="51"/>
      <c r="W44" s="51"/>
      <c r="X44" s="74"/>
      <c r="AH44" s="74"/>
      <c r="AN44" s="74"/>
    </row>
    <row r="45" spans="3:40" s="50" customFormat="1" ht="12.75">
      <c r="C45" s="51"/>
      <c r="D45" s="48"/>
      <c r="E45" s="51"/>
      <c r="F45" s="51"/>
      <c r="G45" s="51"/>
      <c r="H45" s="48"/>
      <c r="I45" s="51"/>
      <c r="J45" s="51"/>
      <c r="K45" s="51"/>
      <c r="L45" s="48"/>
      <c r="M45" s="51"/>
      <c r="N45" s="51"/>
      <c r="O45" s="51"/>
      <c r="P45" s="48"/>
      <c r="Q45" s="51"/>
      <c r="R45" s="51"/>
      <c r="S45" s="51"/>
      <c r="T45" s="48"/>
      <c r="U45" s="51"/>
      <c r="V45" s="51"/>
      <c r="W45" s="51"/>
      <c r="X45" s="74"/>
      <c r="Z45" s="48"/>
      <c r="AA45" s="51"/>
      <c r="AB45" s="51"/>
      <c r="AH45" s="74"/>
      <c r="AN45" s="74"/>
    </row>
    <row r="46" spans="3:40" s="50" customFormat="1" ht="4.5" customHeight="1">
      <c r="C46" s="51"/>
      <c r="D46" s="48"/>
      <c r="E46" s="51"/>
      <c r="F46" s="51"/>
      <c r="G46" s="51"/>
      <c r="H46" s="48"/>
      <c r="I46" s="51"/>
      <c r="J46" s="51"/>
      <c r="K46" s="51"/>
      <c r="L46" s="48"/>
      <c r="M46" s="51"/>
      <c r="N46" s="51"/>
      <c r="O46" s="51"/>
      <c r="P46" s="48"/>
      <c r="Q46" s="51"/>
      <c r="R46" s="51"/>
      <c r="S46" s="51"/>
      <c r="T46" s="48"/>
      <c r="U46" s="51"/>
      <c r="V46" s="51"/>
      <c r="W46" s="51"/>
      <c r="X46" s="74"/>
      <c r="Z46" s="48"/>
      <c r="AA46" s="51"/>
      <c r="AB46" s="51"/>
      <c r="AH46" s="74"/>
      <c r="AN46" s="74"/>
    </row>
    <row r="47" spans="3:40" s="50" customFormat="1" ht="12.75">
      <c r="C47" s="51"/>
      <c r="D47" s="51"/>
      <c r="E47" s="51"/>
      <c r="F47" s="51"/>
      <c r="G47" s="51"/>
      <c r="H47" s="48"/>
      <c r="I47" s="51"/>
      <c r="J47" s="51"/>
      <c r="K47" s="51"/>
      <c r="L47" s="48"/>
      <c r="M47" s="51"/>
      <c r="N47" s="51"/>
      <c r="O47" s="51"/>
      <c r="P47" s="48"/>
      <c r="Q47" s="51"/>
      <c r="R47" s="51"/>
      <c r="S47" s="51"/>
      <c r="T47" s="48"/>
      <c r="U47" s="51"/>
      <c r="V47" s="51"/>
      <c r="W47" s="51"/>
      <c r="X47" s="74"/>
      <c r="AH47" s="74"/>
      <c r="AN47" s="74"/>
    </row>
    <row r="48" spans="1:35" ht="12.75">
      <c r="A48" s="59"/>
      <c r="C48" s="43"/>
      <c r="D48" s="43"/>
      <c r="E48" s="43"/>
      <c r="F48" s="43"/>
      <c r="G48" s="43"/>
      <c r="H48" s="48"/>
      <c r="I48" s="51"/>
      <c r="J48" s="51"/>
      <c r="K48" s="51"/>
      <c r="L48" s="48"/>
      <c r="M48" s="51"/>
      <c r="N48" s="51"/>
      <c r="O48" s="51"/>
      <c r="P48" s="48"/>
      <c r="Q48" s="51"/>
      <c r="R48" s="51"/>
      <c r="S48" s="51"/>
      <c r="T48" s="48"/>
      <c r="U48" s="51"/>
      <c r="V48" s="51"/>
      <c r="W48" s="51"/>
      <c r="X48" s="74"/>
      <c r="Y48" s="50"/>
      <c r="Z48" s="50"/>
      <c r="AA48" s="50"/>
      <c r="AB48" s="50"/>
      <c r="AC48" s="50"/>
      <c r="AD48" s="50"/>
      <c r="AE48" s="50"/>
      <c r="AF48" s="50"/>
      <c r="AG48" s="50"/>
      <c r="AH48" s="74"/>
      <c r="AI48" s="50"/>
    </row>
    <row r="49" spans="3:35" ht="12.75">
      <c r="C49" s="43"/>
      <c r="D49" s="52"/>
      <c r="E49" s="40"/>
      <c r="F49" s="40"/>
      <c r="G49" s="40"/>
      <c r="H49" s="90"/>
      <c r="I49" s="91"/>
      <c r="J49" s="91"/>
      <c r="K49" s="91"/>
      <c r="L49" s="90"/>
      <c r="M49" s="91"/>
      <c r="N49" s="91"/>
      <c r="O49" s="91"/>
      <c r="P49" s="90"/>
      <c r="Q49" s="91"/>
      <c r="R49" s="91"/>
      <c r="S49" s="91"/>
      <c r="T49" s="90"/>
      <c r="U49" s="91"/>
      <c r="V49" s="91"/>
      <c r="W49" s="91"/>
      <c r="X49" s="90"/>
      <c r="Y49" s="91"/>
      <c r="Z49" s="50"/>
      <c r="AA49" s="50"/>
      <c r="AB49" s="50"/>
      <c r="AC49" s="50"/>
      <c r="AD49" s="50"/>
      <c r="AE49" s="50"/>
      <c r="AF49" s="50"/>
      <c r="AG49" s="50"/>
      <c r="AH49" s="74"/>
      <c r="AI49" s="50"/>
    </row>
    <row r="50" spans="3:35" ht="12.75">
      <c r="C50" s="43"/>
      <c r="D50" s="43"/>
      <c r="E50" s="43"/>
      <c r="F50" s="43"/>
      <c r="G50" s="43"/>
      <c r="H50" s="48"/>
      <c r="I50" s="51"/>
      <c r="J50" s="51"/>
      <c r="K50" s="51"/>
      <c r="L50" s="48"/>
      <c r="M50" s="51"/>
      <c r="N50" s="51"/>
      <c r="O50" s="51"/>
      <c r="P50" s="48"/>
      <c r="Q50" s="51"/>
      <c r="R50" s="51"/>
      <c r="S50" s="51"/>
      <c r="T50" s="48"/>
      <c r="U50" s="51"/>
      <c r="V50" s="51"/>
      <c r="W50" s="51"/>
      <c r="X50" s="74"/>
      <c r="Y50" s="50"/>
      <c r="Z50" s="50"/>
      <c r="AA50" s="50"/>
      <c r="AB50" s="50"/>
      <c r="AC50" s="50"/>
      <c r="AD50" s="50"/>
      <c r="AE50" s="50"/>
      <c r="AF50" s="50"/>
      <c r="AG50" s="50"/>
      <c r="AH50" s="74"/>
      <c r="AI50" s="50"/>
    </row>
    <row r="51" spans="1:35" ht="12.75">
      <c r="A51" s="145"/>
      <c r="B51" s="145"/>
      <c r="C51" s="43"/>
      <c r="D51" s="43"/>
      <c r="E51" s="43"/>
      <c r="F51" s="43"/>
      <c r="G51" s="43"/>
      <c r="H51" s="48"/>
      <c r="I51" s="51"/>
      <c r="J51" s="51"/>
      <c r="K51" s="51"/>
      <c r="L51" s="48"/>
      <c r="M51" s="51"/>
      <c r="N51" s="51"/>
      <c r="O51" s="51"/>
      <c r="P51" s="48"/>
      <c r="Q51" s="51"/>
      <c r="R51" s="51"/>
      <c r="S51" s="51"/>
      <c r="T51" s="48"/>
      <c r="U51" s="51"/>
      <c r="V51" s="51"/>
      <c r="W51" s="51"/>
      <c r="X51" s="74"/>
      <c r="Y51" s="50"/>
      <c r="Z51" s="50"/>
      <c r="AA51" s="50"/>
      <c r="AB51" s="50"/>
      <c r="AC51" s="50"/>
      <c r="AD51" s="50"/>
      <c r="AE51" s="50"/>
      <c r="AF51" s="50"/>
      <c r="AG51" s="50"/>
      <c r="AH51" s="74"/>
      <c r="AI51" s="50"/>
    </row>
    <row r="52" spans="1:35" ht="12.75">
      <c r="A52" s="145"/>
      <c r="B52" s="145"/>
      <c r="C52" s="43"/>
      <c r="D52" s="43"/>
      <c r="E52" s="43"/>
      <c r="F52" s="43"/>
      <c r="G52" s="43"/>
      <c r="H52" s="48"/>
      <c r="I52" s="51"/>
      <c r="J52" s="51"/>
      <c r="K52" s="51"/>
      <c r="L52" s="48"/>
      <c r="M52" s="51"/>
      <c r="N52" s="51"/>
      <c r="O52" s="51"/>
      <c r="P52" s="48"/>
      <c r="Q52" s="51"/>
      <c r="R52" s="51"/>
      <c r="S52" s="51"/>
      <c r="T52" s="48"/>
      <c r="U52" s="51"/>
      <c r="V52" s="51"/>
      <c r="W52" s="51"/>
      <c r="X52" s="74"/>
      <c r="Y52" s="50"/>
      <c r="Z52" s="50"/>
      <c r="AA52" s="50"/>
      <c r="AB52" s="50"/>
      <c r="AC52" s="50"/>
      <c r="AD52" s="50"/>
      <c r="AE52" s="50"/>
      <c r="AF52" s="50"/>
      <c r="AG52" s="50"/>
      <c r="AH52" s="74"/>
      <c r="AI52" s="50"/>
    </row>
    <row r="53" spans="3:35" ht="12.75">
      <c r="C53" s="43"/>
      <c r="D53" s="43"/>
      <c r="E53" s="43"/>
      <c r="F53" s="43"/>
      <c r="G53" s="43"/>
      <c r="H53" s="48"/>
      <c r="I53" s="51"/>
      <c r="J53" s="51"/>
      <c r="K53" s="51"/>
      <c r="L53" s="48"/>
      <c r="M53" s="51"/>
      <c r="N53" s="51"/>
      <c r="O53" s="51"/>
      <c r="P53" s="48"/>
      <c r="Q53" s="51"/>
      <c r="R53" s="51"/>
      <c r="S53" s="51"/>
      <c r="T53" s="48"/>
      <c r="U53" s="51"/>
      <c r="V53" s="51"/>
      <c r="W53" s="51"/>
      <c r="X53" s="74"/>
      <c r="Y53" s="50"/>
      <c r="Z53" s="50"/>
      <c r="AA53" s="50"/>
      <c r="AB53" s="50"/>
      <c r="AC53" s="50"/>
      <c r="AD53" s="50"/>
      <c r="AE53" s="50"/>
      <c r="AF53" s="50"/>
      <c r="AG53" s="50"/>
      <c r="AH53" s="74"/>
      <c r="AI53" s="50"/>
    </row>
    <row r="54" spans="3:35" ht="12.75">
      <c r="C54" s="43"/>
      <c r="D54" s="43"/>
      <c r="E54" s="43"/>
      <c r="F54" s="43"/>
      <c r="G54" s="43"/>
      <c r="H54" s="48"/>
      <c r="I54" s="51"/>
      <c r="J54" s="51"/>
      <c r="K54" s="51"/>
      <c r="L54" s="48"/>
      <c r="M54" s="51"/>
      <c r="N54" s="51"/>
      <c r="O54" s="51"/>
      <c r="P54" s="48"/>
      <c r="Q54" s="51"/>
      <c r="R54" s="51"/>
      <c r="S54" s="51"/>
      <c r="T54" s="48"/>
      <c r="U54" s="51"/>
      <c r="V54" s="51"/>
      <c r="W54" s="51"/>
      <c r="X54" s="74"/>
      <c r="Y54" s="50"/>
      <c r="Z54" s="51"/>
      <c r="AA54" s="50"/>
      <c r="AB54" s="51"/>
      <c r="AC54" s="50"/>
      <c r="AD54" s="50"/>
      <c r="AE54" s="50"/>
      <c r="AF54" s="50"/>
      <c r="AG54" s="50"/>
      <c r="AH54" s="74"/>
      <c r="AI54" s="50"/>
    </row>
    <row r="55" spans="1:35" ht="12.75">
      <c r="A55" s="146"/>
      <c r="C55" s="43"/>
      <c r="D55" s="43"/>
      <c r="E55" s="43"/>
      <c r="F55" s="43"/>
      <c r="G55" s="43"/>
      <c r="H55" s="48"/>
      <c r="I55" s="51"/>
      <c r="J55" s="51"/>
      <c r="K55" s="51"/>
      <c r="L55" s="48"/>
      <c r="M55" s="51"/>
      <c r="N55" s="51"/>
      <c r="O55" s="51"/>
      <c r="P55" s="48"/>
      <c r="Q55" s="51"/>
      <c r="R55" s="51"/>
      <c r="S55" s="51"/>
      <c r="T55" s="48"/>
      <c r="U55" s="51"/>
      <c r="V55" s="51"/>
      <c r="W55" s="51"/>
      <c r="X55" s="74"/>
      <c r="Y55" s="50"/>
      <c r="Z55" s="74"/>
      <c r="AA55" s="50"/>
      <c r="AB55" s="50"/>
      <c r="AC55" s="50"/>
      <c r="AD55" s="50"/>
      <c r="AE55" s="50"/>
      <c r="AF55" s="50"/>
      <c r="AG55" s="50"/>
      <c r="AH55" s="74"/>
      <c r="AI55" s="50"/>
    </row>
    <row r="56" spans="2:30" ht="12.75">
      <c r="B56" s="38"/>
      <c r="C56" s="47"/>
      <c r="D56" s="38"/>
      <c r="G56" s="47"/>
      <c r="H56" s="38"/>
      <c r="K56" s="47"/>
      <c r="L56" s="38"/>
      <c r="O56" s="47"/>
      <c r="P56" s="38"/>
      <c r="S56" s="47"/>
      <c r="T56" s="38"/>
      <c r="W56" s="47"/>
      <c r="Y56" s="47"/>
      <c r="Z56" s="38"/>
      <c r="AC56" s="47"/>
      <c r="AD56" s="43"/>
    </row>
    <row r="57" spans="2:30" ht="12.75">
      <c r="B57" s="38"/>
      <c r="C57" s="47"/>
      <c r="D57" s="38"/>
      <c r="G57" s="47"/>
      <c r="H57" s="38"/>
      <c r="K57" s="47"/>
      <c r="L57" s="38"/>
      <c r="O57" s="47"/>
      <c r="P57" s="38"/>
      <c r="S57" s="47"/>
      <c r="T57" s="38"/>
      <c r="W57" s="47"/>
      <c r="Y57" s="47"/>
      <c r="Z57" s="38"/>
      <c r="AC57" s="47"/>
      <c r="AD57" s="43"/>
    </row>
    <row r="58" spans="2:30" ht="12.75">
      <c r="B58" s="38"/>
      <c r="C58" s="47"/>
      <c r="D58" s="38"/>
      <c r="G58" s="47"/>
      <c r="H58" s="38"/>
      <c r="K58" s="47"/>
      <c r="L58" s="38"/>
      <c r="O58" s="47"/>
      <c r="P58" s="38"/>
      <c r="S58" s="47"/>
      <c r="T58" s="38"/>
      <c r="W58" s="47"/>
      <c r="Y58" s="47"/>
      <c r="Z58" s="38"/>
      <c r="AC58" s="47"/>
      <c r="AD58" s="43"/>
    </row>
    <row r="59" spans="2:30" ht="12.75">
      <c r="B59" s="38"/>
      <c r="C59" s="47"/>
      <c r="D59" s="38"/>
      <c r="G59" s="47"/>
      <c r="H59" s="38"/>
      <c r="K59" s="47"/>
      <c r="L59" s="38"/>
      <c r="O59" s="47"/>
      <c r="P59" s="38"/>
      <c r="S59" s="47"/>
      <c r="T59" s="38"/>
      <c r="W59" s="47"/>
      <c r="Y59" s="47"/>
      <c r="Z59" s="38"/>
      <c r="AC59" s="47"/>
      <c r="AD59" s="43"/>
    </row>
    <row r="60" spans="2:30" ht="12.75">
      <c r="B60" s="38"/>
      <c r="C60" s="47"/>
      <c r="D60" s="38"/>
      <c r="G60" s="47"/>
      <c r="H60" s="38"/>
      <c r="K60" s="47"/>
      <c r="L60" s="38"/>
      <c r="O60" s="47"/>
      <c r="P60" s="38"/>
      <c r="S60" s="47"/>
      <c r="T60" s="38"/>
      <c r="W60" s="47"/>
      <c r="Y60" s="47"/>
      <c r="Z60" s="38"/>
      <c r="AC60" s="47"/>
      <c r="AD60" s="43"/>
    </row>
    <row r="61" spans="2:30" ht="12.75">
      <c r="B61" s="38"/>
      <c r="C61" s="47"/>
      <c r="D61" s="38"/>
      <c r="G61" s="47"/>
      <c r="H61" s="38"/>
      <c r="K61" s="47"/>
      <c r="L61" s="38"/>
      <c r="O61" s="47"/>
      <c r="P61" s="38"/>
      <c r="S61" s="47"/>
      <c r="T61" s="38"/>
      <c r="W61" s="47"/>
      <c r="Y61" s="47"/>
      <c r="Z61" s="38"/>
      <c r="AC61" s="47"/>
      <c r="AD61" s="43"/>
    </row>
    <row r="62" spans="2:30" ht="12.75">
      <c r="B62" s="38"/>
      <c r="C62" s="47"/>
      <c r="D62" s="38"/>
      <c r="G62" s="47"/>
      <c r="H62" s="38"/>
      <c r="K62" s="47"/>
      <c r="L62" s="38"/>
      <c r="O62" s="47"/>
      <c r="P62" s="38"/>
      <c r="S62" s="47"/>
      <c r="T62" s="38"/>
      <c r="W62" s="47"/>
      <c r="Y62" s="47"/>
      <c r="Z62" s="38"/>
      <c r="AC62" s="47"/>
      <c r="AD62" s="43"/>
    </row>
    <row r="63" spans="2:30" ht="12.75">
      <c r="B63" s="38"/>
      <c r="C63" s="47"/>
      <c r="D63" s="38"/>
      <c r="G63" s="47"/>
      <c r="H63" s="38"/>
      <c r="K63" s="47"/>
      <c r="L63" s="38"/>
      <c r="O63" s="47"/>
      <c r="P63" s="38"/>
      <c r="S63" s="47"/>
      <c r="T63" s="38"/>
      <c r="W63" s="47"/>
      <c r="Y63" s="47"/>
      <c r="Z63" s="38"/>
      <c r="AC63" s="47"/>
      <c r="AD63" s="43"/>
    </row>
    <row r="64" spans="2:30" ht="12.75">
      <c r="B64" s="38"/>
      <c r="C64" s="47"/>
      <c r="D64" s="38"/>
      <c r="G64" s="47"/>
      <c r="H64" s="38"/>
      <c r="K64" s="47"/>
      <c r="L64" s="38"/>
      <c r="O64" s="47"/>
      <c r="P64" s="38"/>
      <c r="S64" s="47"/>
      <c r="T64" s="38"/>
      <c r="W64" s="47"/>
      <c r="Y64" s="47"/>
      <c r="Z64" s="38"/>
      <c r="AC64" s="47"/>
      <c r="AD64" s="43"/>
    </row>
    <row r="65" spans="2:30" ht="12.75">
      <c r="B65" s="38"/>
      <c r="C65" s="47"/>
      <c r="D65" s="38"/>
      <c r="G65" s="47"/>
      <c r="H65" s="38"/>
      <c r="K65" s="47"/>
      <c r="L65" s="38"/>
      <c r="O65" s="47"/>
      <c r="P65" s="38"/>
      <c r="S65" s="47"/>
      <c r="T65" s="38"/>
      <c r="W65" s="47"/>
      <c r="Y65" s="47"/>
      <c r="Z65" s="38"/>
      <c r="AC65" s="47"/>
      <c r="AD65" s="43"/>
    </row>
    <row r="66" spans="2:30" ht="12.75">
      <c r="B66" s="38"/>
      <c r="C66" s="47"/>
      <c r="D66" s="38"/>
      <c r="G66" s="47"/>
      <c r="H66" s="38"/>
      <c r="K66" s="47"/>
      <c r="L66" s="38"/>
      <c r="O66" s="47"/>
      <c r="P66" s="38"/>
      <c r="S66" s="47"/>
      <c r="T66" s="38"/>
      <c r="W66" s="47"/>
      <c r="Y66" s="47"/>
      <c r="Z66" s="38"/>
      <c r="AC66" s="47"/>
      <c r="AD66" s="43"/>
    </row>
    <row r="67" spans="2:30" ht="12.75">
      <c r="B67" s="38"/>
      <c r="C67" s="47"/>
      <c r="D67" s="38"/>
      <c r="G67" s="47"/>
      <c r="H67" s="38"/>
      <c r="K67" s="47"/>
      <c r="L67" s="38"/>
      <c r="O67" s="47"/>
      <c r="P67" s="38"/>
      <c r="S67" s="47"/>
      <c r="T67" s="38"/>
      <c r="W67" s="47"/>
      <c r="Y67" s="47"/>
      <c r="Z67" s="38"/>
      <c r="AC67" s="47"/>
      <c r="AD67" s="43"/>
    </row>
    <row r="68" spans="2:30" ht="12.75">
      <c r="B68" s="38"/>
      <c r="C68" s="47"/>
      <c r="D68" s="38"/>
      <c r="G68" s="47"/>
      <c r="H68" s="38"/>
      <c r="K68" s="47"/>
      <c r="L68" s="38"/>
      <c r="O68" s="47"/>
      <c r="P68" s="38"/>
      <c r="S68" s="47"/>
      <c r="T68" s="38"/>
      <c r="W68" s="47"/>
      <c r="Y68" s="47"/>
      <c r="Z68" s="38"/>
      <c r="AC68" s="47"/>
      <c r="AD68" s="43"/>
    </row>
    <row r="69" spans="2:30" ht="12.75">
      <c r="B69" s="38"/>
      <c r="C69" s="47"/>
      <c r="D69" s="38"/>
      <c r="G69" s="47"/>
      <c r="H69" s="38"/>
      <c r="K69" s="47"/>
      <c r="L69" s="38"/>
      <c r="O69" s="47"/>
      <c r="P69" s="38"/>
      <c r="S69" s="47"/>
      <c r="T69" s="38"/>
      <c r="W69" s="47"/>
      <c r="Y69" s="47"/>
      <c r="Z69" s="38"/>
      <c r="AC69" s="47"/>
      <c r="AD69" s="43"/>
    </row>
    <row r="70" spans="2:30" ht="12.75">
      <c r="B70" s="38"/>
      <c r="C70" s="47"/>
      <c r="D70" s="38"/>
      <c r="G70" s="47"/>
      <c r="H70" s="38"/>
      <c r="K70" s="47"/>
      <c r="L70" s="38"/>
      <c r="O70" s="47"/>
      <c r="P70" s="38"/>
      <c r="S70" s="47"/>
      <c r="T70" s="38"/>
      <c r="W70" s="47"/>
      <c r="Y70" s="47"/>
      <c r="Z70" s="38"/>
      <c r="AC70" s="47"/>
      <c r="AD70" s="43"/>
    </row>
    <row r="71" spans="2:30" ht="12.75">
      <c r="B71" s="38"/>
      <c r="C71" s="47"/>
      <c r="D71" s="38"/>
      <c r="G71" s="47"/>
      <c r="H71" s="38"/>
      <c r="K71" s="47"/>
      <c r="L71" s="38"/>
      <c r="O71" s="47"/>
      <c r="P71" s="38"/>
      <c r="S71" s="47"/>
      <c r="T71" s="38"/>
      <c r="W71" s="47"/>
      <c r="Y71" s="47"/>
      <c r="Z71" s="38"/>
      <c r="AC71" s="47"/>
      <c r="AD71" s="43"/>
    </row>
    <row r="72" spans="2:30" ht="12.75">
      <c r="B72" s="38"/>
      <c r="C72" s="47"/>
      <c r="D72" s="38"/>
      <c r="G72" s="47"/>
      <c r="H72" s="38"/>
      <c r="K72" s="47"/>
      <c r="L72" s="38"/>
      <c r="O72" s="47"/>
      <c r="P72" s="38"/>
      <c r="S72" s="47"/>
      <c r="T72" s="38"/>
      <c r="W72" s="47"/>
      <c r="Y72" s="47"/>
      <c r="Z72" s="38"/>
      <c r="AC72" s="47"/>
      <c r="AD72" s="43"/>
    </row>
    <row r="73" spans="2:30" ht="12.75">
      <c r="B73" s="38"/>
      <c r="C73" s="47"/>
      <c r="D73" s="38"/>
      <c r="G73" s="47"/>
      <c r="H73" s="38"/>
      <c r="K73" s="47"/>
      <c r="L73" s="38"/>
      <c r="O73" s="47"/>
      <c r="P73" s="38"/>
      <c r="S73" s="47"/>
      <c r="T73" s="38"/>
      <c r="W73" s="47"/>
      <c r="Y73" s="47"/>
      <c r="Z73" s="38"/>
      <c r="AC73" s="47"/>
      <c r="AD73" s="43"/>
    </row>
    <row r="74" spans="2:30" ht="12.75">
      <c r="B74" s="38"/>
      <c r="C74" s="47"/>
      <c r="D74" s="38"/>
      <c r="G74" s="47"/>
      <c r="H74" s="38"/>
      <c r="K74" s="47"/>
      <c r="L74" s="38"/>
      <c r="O74" s="47"/>
      <c r="P74" s="38"/>
      <c r="S74" s="47"/>
      <c r="T74" s="38"/>
      <c r="W74" s="47"/>
      <c r="Y74" s="47"/>
      <c r="Z74" s="38"/>
      <c r="AC74" s="47"/>
      <c r="AD74" s="43"/>
    </row>
    <row r="75" spans="2:30" ht="12.75">
      <c r="B75" s="38"/>
      <c r="C75" s="47"/>
      <c r="D75" s="38"/>
      <c r="G75" s="47"/>
      <c r="H75" s="38"/>
      <c r="K75" s="47"/>
      <c r="L75" s="38"/>
      <c r="O75" s="47"/>
      <c r="P75" s="38"/>
      <c r="S75" s="47"/>
      <c r="T75" s="38"/>
      <c r="W75" s="47"/>
      <c r="Y75" s="47"/>
      <c r="Z75" s="38"/>
      <c r="AC75" s="47"/>
      <c r="AD75" s="43"/>
    </row>
    <row r="76" spans="2:30" ht="12.75">
      <c r="B76" s="38"/>
      <c r="C76" s="47"/>
      <c r="D76" s="38"/>
      <c r="G76" s="47"/>
      <c r="H76" s="38"/>
      <c r="K76" s="47"/>
      <c r="L76" s="38"/>
      <c r="O76" s="47"/>
      <c r="P76" s="38"/>
      <c r="S76" s="47"/>
      <c r="T76" s="38"/>
      <c r="W76" s="47"/>
      <c r="Y76" s="47"/>
      <c r="Z76" s="38"/>
      <c r="AC76" s="47"/>
      <c r="AD76" s="43"/>
    </row>
    <row r="77" spans="2:30" ht="12.75">
      <c r="B77" s="38"/>
      <c r="C77" s="47"/>
      <c r="D77" s="38"/>
      <c r="G77" s="47"/>
      <c r="H77" s="38"/>
      <c r="K77" s="47"/>
      <c r="L77" s="38"/>
      <c r="O77" s="47"/>
      <c r="P77" s="38"/>
      <c r="S77" s="47"/>
      <c r="T77" s="38"/>
      <c r="W77" s="47"/>
      <c r="Y77" s="47"/>
      <c r="Z77" s="38"/>
      <c r="AC77" s="47"/>
      <c r="AD77" s="43"/>
    </row>
  </sheetData>
  <printOptions/>
  <pageMargins left="0.38" right="0.23" top="1" bottom="1" header="0.5" footer="0.5"/>
  <pageSetup fitToHeight="1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1" customWidth="1"/>
    <col min="2" max="2" width="17.7109375" style="14" customWidth="1"/>
    <col min="3" max="3" width="17.7109375" style="10" customWidth="1"/>
    <col min="4" max="4" width="8.7109375" style="10" bestFit="1" customWidth="1"/>
    <col min="5" max="5" width="17.7109375" style="10" customWidth="1"/>
    <col min="6" max="16384" width="9.140625" style="1" customWidth="1"/>
  </cols>
  <sheetData>
    <row r="1" spans="1:5" ht="18">
      <c r="A1" s="157" t="s">
        <v>392</v>
      </c>
      <c r="B1" s="42"/>
      <c r="C1" s="42"/>
      <c r="D1" s="42"/>
      <c r="E1" s="57"/>
    </row>
    <row r="2" spans="1:5" ht="12.75">
      <c r="A2" s="43"/>
      <c r="B2" s="38"/>
      <c r="C2" s="38"/>
      <c r="D2" s="38"/>
      <c r="E2" s="43"/>
    </row>
    <row r="3" spans="1:5" ht="12.75">
      <c r="A3" s="59" t="s">
        <v>357</v>
      </c>
      <c r="B3" s="38"/>
      <c r="C3" s="38"/>
      <c r="D3" s="38"/>
      <c r="E3" s="43"/>
    </row>
    <row r="4" spans="1:5" ht="12.75">
      <c r="A4" s="66" t="s">
        <v>358</v>
      </c>
      <c r="B4" s="38"/>
      <c r="C4" s="38"/>
      <c r="D4" s="38"/>
      <c r="E4" s="43"/>
    </row>
    <row r="5" spans="1:5" ht="12.75">
      <c r="A5" s="66" t="s">
        <v>340</v>
      </c>
      <c r="B5" s="38"/>
      <c r="C5" s="38"/>
      <c r="D5" s="38"/>
      <c r="E5" s="43"/>
    </row>
    <row r="6" spans="1:5" ht="12.75">
      <c r="A6" s="66" t="s">
        <v>359</v>
      </c>
      <c r="B6" s="38"/>
      <c r="C6" s="38"/>
      <c r="D6" s="38"/>
      <c r="E6" s="43"/>
    </row>
    <row r="7" spans="1:5" ht="12.75">
      <c r="A7" s="66" t="s">
        <v>360</v>
      </c>
      <c r="B7" s="38"/>
      <c r="C7" s="38"/>
      <c r="D7" s="38"/>
      <c r="E7" s="43"/>
    </row>
    <row r="8" spans="1:5" ht="12.75">
      <c r="A8" s="60"/>
      <c r="B8" s="38"/>
      <c r="C8" s="38"/>
      <c r="D8" s="38"/>
      <c r="E8" s="43"/>
    </row>
    <row r="9" spans="1:5" ht="12.75" customHeight="1">
      <c r="A9" s="66" t="s">
        <v>341</v>
      </c>
      <c r="B9" s="38"/>
      <c r="C9" s="38"/>
      <c r="D9" s="38"/>
      <c r="E9" s="43"/>
    </row>
    <row r="10" spans="1:5" ht="12.75" customHeight="1">
      <c r="A10" s="66" t="s">
        <v>361</v>
      </c>
      <c r="B10" s="38"/>
      <c r="C10" s="38"/>
      <c r="D10" s="38"/>
      <c r="E10" s="43"/>
    </row>
    <row r="11" spans="1:5" ht="12.75" customHeight="1">
      <c r="A11" s="66" t="s">
        <v>342</v>
      </c>
      <c r="B11" s="38"/>
      <c r="C11" s="38"/>
      <c r="D11" s="38"/>
      <c r="E11" s="43"/>
    </row>
    <row r="12" spans="1:5" ht="12.75" customHeight="1">
      <c r="A12" s="66" t="s">
        <v>343</v>
      </c>
      <c r="B12" s="38"/>
      <c r="C12" s="38"/>
      <c r="D12" s="38"/>
      <c r="E12" s="43"/>
    </row>
    <row r="13" spans="1:5" ht="12.75" customHeight="1">
      <c r="A13" s="66" t="s">
        <v>411</v>
      </c>
      <c r="B13" s="38"/>
      <c r="C13" s="38"/>
      <c r="D13" s="38"/>
      <c r="E13" s="43"/>
    </row>
    <row r="14" spans="1:5" ht="12.75">
      <c r="A14" s="60"/>
      <c r="B14" s="38"/>
      <c r="C14" s="38"/>
      <c r="D14" s="38"/>
      <c r="E14" s="43"/>
    </row>
    <row r="15" spans="1:5" ht="12.75">
      <c r="A15" s="61" t="s">
        <v>271</v>
      </c>
      <c r="B15" s="38"/>
      <c r="C15" s="38"/>
      <c r="D15" s="38"/>
      <c r="E15" s="43"/>
    </row>
    <row r="16" spans="1:5" ht="12.75">
      <c r="A16" s="82" t="s">
        <v>412</v>
      </c>
      <c r="B16" s="38"/>
      <c r="C16" s="38"/>
      <c r="D16" s="38"/>
      <c r="E16" s="43"/>
    </row>
    <row r="17" spans="1:5" ht="12.75">
      <c r="A17" s="66" t="s">
        <v>362</v>
      </c>
      <c r="B17" s="38"/>
      <c r="C17" s="38"/>
      <c r="D17" s="38"/>
      <c r="E17" s="43"/>
    </row>
    <row r="18" spans="1:5" ht="12.75">
      <c r="A18" s="66" t="s">
        <v>363</v>
      </c>
      <c r="B18" s="38"/>
      <c r="C18" s="38"/>
      <c r="D18" s="38"/>
      <c r="E18" s="43"/>
    </row>
    <row r="19" spans="1:5" ht="12.75">
      <c r="A19" s="66" t="s">
        <v>413</v>
      </c>
      <c r="B19" s="38"/>
      <c r="C19" s="38"/>
      <c r="D19" s="38"/>
      <c r="E19" s="43"/>
    </row>
    <row r="20" spans="1:5" ht="12.75">
      <c r="A20" s="66"/>
      <c r="B20" s="38"/>
      <c r="C20" s="38"/>
      <c r="D20" s="38"/>
      <c r="E20" s="43"/>
    </row>
    <row r="21" spans="1:5" ht="12.75">
      <c r="A21" s="158" t="s">
        <v>414</v>
      </c>
      <c r="B21" s="38"/>
      <c r="C21" s="38"/>
      <c r="D21" s="38"/>
      <c r="E21" s="43"/>
    </row>
    <row r="22" spans="1:5" ht="12.75">
      <c r="A22" s="159" t="s">
        <v>415</v>
      </c>
      <c r="B22" s="38"/>
      <c r="C22" s="38"/>
      <c r="D22" s="38"/>
      <c r="E22" s="43"/>
    </row>
    <row r="23" spans="1:5" ht="12.75">
      <c r="A23" s="158" t="s">
        <v>416</v>
      </c>
      <c r="B23" s="38"/>
      <c r="C23" s="38"/>
      <c r="D23" s="38"/>
      <c r="E23" s="43"/>
    </row>
    <row r="24" spans="1:5" ht="12.75">
      <c r="A24" s="158"/>
      <c r="B24" s="38"/>
      <c r="C24" s="38"/>
      <c r="D24" s="38"/>
      <c r="E24" s="43"/>
    </row>
    <row r="25" spans="1:5" ht="12.75">
      <c r="A25" s="43" t="s">
        <v>417</v>
      </c>
      <c r="B25" s="38"/>
      <c r="C25" s="38"/>
      <c r="D25" s="38"/>
      <c r="E25" s="43"/>
    </row>
    <row r="26" spans="1:5" ht="12.75">
      <c r="A26" s="66" t="s">
        <v>418</v>
      </c>
      <c r="B26" s="38"/>
      <c r="C26" s="38"/>
      <c r="D26" s="38"/>
      <c r="E26" s="43"/>
    </row>
    <row r="27" spans="1:5" ht="12.75">
      <c r="A27" s="66" t="s">
        <v>419</v>
      </c>
      <c r="B27" s="38"/>
      <c r="C27" s="38"/>
      <c r="D27" s="38"/>
      <c r="E27" s="43"/>
    </row>
    <row r="28" spans="1:5" ht="12.75">
      <c r="A28" s="66" t="s">
        <v>420</v>
      </c>
      <c r="B28" s="38"/>
      <c r="C28" s="38"/>
      <c r="D28" s="38"/>
      <c r="E28" s="43"/>
    </row>
    <row r="29" spans="1:5" ht="12.75">
      <c r="A29" s="66"/>
      <c r="B29" s="38"/>
      <c r="C29" s="38"/>
      <c r="D29" s="38"/>
      <c r="E29" s="43"/>
    </row>
    <row r="30" spans="1:5" ht="12.75">
      <c r="A30" s="43" t="s">
        <v>364</v>
      </c>
      <c r="B30" s="38"/>
      <c r="C30" s="38"/>
      <c r="D30" s="38"/>
      <c r="E30" s="43"/>
    </row>
    <row r="31" spans="1:5" ht="12.75">
      <c r="A31" s="43" t="s">
        <v>365</v>
      </c>
      <c r="B31" s="38"/>
      <c r="C31" s="38"/>
      <c r="D31" s="38"/>
      <c r="E31" s="43"/>
    </row>
    <row r="32" spans="1:5" ht="12.75">
      <c r="A32" s="60"/>
      <c r="B32" s="38"/>
      <c r="C32" s="38"/>
      <c r="D32" s="38"/>
      <c r="E32" s="43"/>
    </row>
    <row r="33" spans="1:5" ht="12.75">
      <c r="A33" s="66" t="s">
        <v>366</v>
      </c>
      <c r="B33" s="38"/>
      <c r="C33" s="38"/>
      <c r="D33" s="38"/>
      <c r="E33" s="43"/>
    </row>
    <row r="34" spans="1:5" ht="12.75">
      <c r="A34" s="66" t="s">
        <v>421</v>
      </c>
      <c r="B34" s="38"/>
      <c r="C34" s="38"/>
      <c r="D34" s="38"/>
      <c r="E34" s="43"/>
    </row>
    <row r="35" spans="1:5" ht="12.75">
      <c r="A35" s="66" t="s">
        <v>422</v>
      </c>
      <c r="B35" s="38"/>
      <c r="C35" s="38"/>
      <c r="D35" s="38"/>
      <c r="E35" s="43"/>
    </row>
    <row r="36" spans="1:5" ht="12.75">
      <c r="A36" s="66" t="s">
        <v>423</v>
      </c>
      <c r="B36" s="38"/>
      <c r="C36" s="38"/>
      <c r="D36" s="38"/>
      <c r="E36" s="43"/>
    </row>
    <row r="37" spans="1:5" ht="12.75">
      <c r="A37" s="60"/>
      <c r="B37" s="38"/>
      <c r="C37" s="38"/>
      <c r="D37" s="38"/>
      <c r="E37" s="43"/>
    </row>
    <row r="38" spans="1:5" ht="12.75">
      <c r="A38" s="61" t="s">
        <v>367</v>
      </c>
      <c r="B38" s="38"/>
      <c r="C38" s="38"/>
      <c r="D38" s="38"/>
      <c r="E38" s="43"/>
    </row>
    <row r="39" spans="1:5" ht="12.75">
      <c r="A39" s="66" t="s">
        <v>368</v>
      </c>
      <c r="B39" s="38"/>
      <c r="C39" s="38"/>
      <c r="D39" s="38"/>
      <c r="E39" s="43"/>
    </row>
    <row r="40" spans="1:5" ht="12.75">
      <c r="A40" s="66" t="s">
        <v>424</v>
      </c>
      <c r="B40" s="38"/>
      <c r="C40" s="38"/>
      <c r="D40" s="38"/>
      <c r="E40" s="43"/>
    </row>
    <row r="41" spans="1:5" ht="12.75">
      <c r="A41" s="66"/>
      <c r="B41" s="38"/>
      <c r="C41" s="38"/>
      <c r="D41" s="38"/>
      <c r="E41" s="43"/>
    </row>
    <row r="42" spans="1:5" ht="12.75">
      <c r="A42" s="66" t="s">
        <v>369</v>
      </c>
      <c r="B42" s="38"/>
      <c r="C42" s="38"/>
      <c r="D42" s="38"/>
      <c r="E42" s="43"/>
    </row>
    <row r="43" spans="1:5" ht="12.75">
      <c r="A43" s="66" t="s">
        <v>425</v>
      </c>
      <c r="B43" s="38"/>
      <c r="C43" s="38"/>
      <c r="D43" s="38"/>
      <c r="E43" s="43"/>
    </row>
    <row r="44" spans="1:5" ht="12.75">
      <c r="A44" s="66" t="s">
        <v>370</v>
      </c>
      <c r="B44" s="38"/>
      <c r="C44" s="38"/>
      <c r="D44" s="38"/>
      <c r="E44" s="43"/>
    </row>
    <row r="45" spans="1:5" ht="12.75">
      <c r="A45" s="66"/>
      <c r="B45" s="38"/>
      <c r="C45" s="38"/>
      <c r="D45" s="38"/>
      <c r="E45" s="43"/>
    </row>
    <row r="46" spans="1:5" ht="12.75">
      <c r="A46" s="66" t="s">
        <v>426</v>
      </c>
      <c r="B46" s="38"/>
      <c r="C46" s="38"/>
      <c r="D46" s="38"/>
      <c r="E46" s="43"/>
    </row>
    <row r="47" spans="1:5" ht="12.75">
      <c r="A47" s="66" t="s">
        <v>427</v>
      </c>
      <c r="B47" s="38"/>
      <c r="C47" s="38"/>
      <c r="D47" s="38"/>
      <c r="E47" s="43"/>
    </row>
    <row r="48" spans="1:5" ht="12.75">
      <c r="A48" s="66"/>
      <c r="B48" s="38"/>
      <c r="C48" s="38"/>
      <c r="D48" s="38"/>
      <c r="E48" s="43"/>
    </row>
    <row r="49" spans="1:5" ht="12.75">
      <c r="A49" s="21"/>
      <c r="B49" s="10"/>
      <c r="E49" s="1"/>
    </row>
    <row r="50" spans="1:5" ht="18">
      <c r="A50" s="157" t="s">
        <v>393</v>
      </c>
      <c r="B50" s="42"/>
      <c r="C50" s="42"/>
      <c r="D50" s="42"/>
      <c r="E50" s="57"/>
    </row>
    <row r="51" spans="1:5" ht="12.75">
      <c r="A51" s="21"/>
      <c r="B51" s="10"/>
      <c r="E51" s="1"/>
    </row>
    <row r="52" ht="12.75" customHeight="1">
      <c r="A52" s="66" t="s">
        <v>371</v>
      </c>
    </row>
    <row r="53" ht="12.75" customHeight="1">
      <c r="A53" s="66" t="s">
        <v>372</v>
      </c>
    </row>
    <row r="54" ht="12.75" customHeight="1">
      <c r="A54" s="66" t="s">
        <v>373</v>
      </c>
    </row>
    <row r="55" ht="12.75" customHeight="1">
      <c r="A55" s="66" t="s">
        <v>374</v>
      </c>
    </row>
    <row r="56" ht="12.75" customHeight="1">
      <c r="A56" s="66" t="s">
        <v>375</v>
      </c>
    </row>
    <row r="57" ht="12.75" customHeight="1">
      <c r="A57" s="66" t="s">
        <v>376</v>
      </c>
    </row>
    <row r="58" ht="12.75" customHeight="1">
      <c r="A58" s="66" t="s">
        <v>377</v>
      </c>
    </row>
    <row r="59" ht="12.75" customHeight="1">
      <c r="A59" s="66"/>
    </row>
    <row r="60" ht="12.75" customHeight="1">
      <c r="A60" s="160"/>
    </row>
    <row r="61" spans="2:5" ht="12.75">
      <c r="B61" s="10"/>
      <c r="E61" s="1"/>
    </row>
    <row r="62" spans="1:5" ht="12.75">
      <c r="A62" s="21"/>
      <c r="B62" s="10"/>
      <c r="E62" s="1"/>
    </row>
    <row r="63" spans="1:5" ht="12.75">
      <c r="A63" s="21"/>
      <c r="B63" s="10"/>
      <c r="E63" s="1"/>
    </row>
    <row r="64" spans="1:5" ht="12.75">
      <c r="A64" s="21"/>
      <c r="B64" s="10"/>
      <c r="E64" s="1"/>
    </row>
    <row r="65" spans="1:5" ht="12.75">
      <c r="A65" s="21"/>
      <c r="B65" s="10"/>
      <c r="E65" s="1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"/>
    </sheetView>
  </sheetViews>
  <sheetFormatPr defaultColWidth="9.140625" defaultRowHeight="12.75"/>
  <cols>
    <col min="1" max="1" width="51.7109375" style="1" customWidth="1"/>
    <col min="2" max="2" width="17.7109375" style="14" customWidth="1"/>
    <col min="3" max="3" width="17.7109375" style="10" customWidth="1"/>
    <col min="4" max="4" width="8.7109375" style="10" bestFit="1" customWidth="1"/>
    <col min="5" max="5" width="17.7109375" style="10" customWidth="1"/>
    <col min="6" max="16384" width="9.140625" style="1" customWidth="1"/>
  </cols>
  <sheetData>
    <row r="1" spans="1:5" ht="18">
      <c r="A1" s="157" t="s">
        <v>428</v>
      </c>
      <c r="B1" s="42"/>
      <c r="C1" s="42"/>
      <c r="D1" s="42"/>
      <c r="E1" s="57"/>
    </row>
    <row r="2" spans="1:5" ht="12.75">
      <c r="A2" s="43"/>
      <c r="B2" s="38"/>
      <c r="C2" s="38"/>
      <c r="D2" s="38"/>
      <c r="E2" s="43"/>
    </row>
    <row r="3" spans="1:5" ht="12.75">
      <c r="A3" s="3" t="s">
        <v>429</v>
      </c>
      <c r="B3" s="38"/>
      <c r="C3" s="38"/>
      <c r="D3" s="38"/>
      <c r="E3" s="43"/>
    </row>
    <row r="5" ht="12.75">
      <c r="A5" s="1" t="s">
        <v>11</v>
      </c>
    </row>
    <row r="6" ht="12.75">
      <c r="A6" s="1" t="s">
        <v>12</v>
      </c>
    </row>
    <row r="7" ht="12.75">
      <c r="A7" s="1" t="s">
        <v>430</v>
      </c>
    </row>
    <row r="8" ht="12.75">
      <c r="A8" s="1" t="s">
        <v>432</v>
      </c>
    </row>
    <row r="9" ht="12.75">
      <c r="A9" s="1" t="s">
        <v>433</v>
      </c>
    </row>
    <row r="10" ht="12.75">
      <c r="A10" s="1" t="s">
        <v>13</v>
      </c>
    </row>
    <row r="11" ht="12.75">
      <c r="A11" s="1" t="s">
        <v>14</v>
      </c>
    </row>
    <row r="12" ht="12.75">
      <c r="A12" s="1" t="s">
        <v>431</v>
      </c>
    </row>
    <row r="14" ht="12.75">
      <c r="A14" s="1" t="s">
        <v>434</v>
      </c>
    </row>
    <row r="15" ht="12.75">
      <c r="A15" s="1" t="s">
        <v>435</v>
      </c>
    </row>
    <row r="16" ht="12.75">
      <c r="A16" s="1" t="s">
        <v>436</v>
      </c>
    </row>
    <row r="17" ht="12.75">
      <c r="A17" s="1" t="s">
        <v>447</v>
      </c>
    </row>
    <row r="18" ht="12.75">
      <c r="A18" s="1" t="s">
        <v>437</v>
      </c>
    </row>
    <row r="20" ht="12.75">
      <c r="A20" s="3" t="s">
        <v>438</v>
      </c>
    </row>
    <row r="22" ht="12.75">
      <c r="A22" s="1" t="s">
        <v>15</v>
      </c>
    </row>
    <row r="23" ht="12.75">
      <c r="A23" s="1" t="s">
        <v>16</v>
      </c>
    </row>
    <row r="25" ht="12.75">
      <c r="A25" s="1" t="s">
        <v>17</v>
      </c>
    </row>
    <row r="26" ht="12.75">
      <c r="A26" s="1" t="s">
        <v>18</v>
      </c>
    </row>
    <row r="27" ht="12.75">
      <c r="A27" s="1" t="s">
        <v>19</v>
      </c>
    </row>
    <row r="29" ht="12.75">
      <c r="A29" s="1" t="s">
        <v>439</v>
      </c>
    </row>
    <row r="30" ht="12.75">
      <c r="A30" s="193" t="s">
        <v>440</v>
      </c>
    </row>
    <row r="31" ht="12.75">
      <c r="A31" s="1" t="s">
        <v>441</v>
      </c>
    </row>
    <row r="32" ht="12.75">
      <c r="A32" s="1" t="s">
        <v>442</v>
      </c>
    </row>
    <row r="34" ht="12.75">
      <c r="A34" s="1" t="s">
        <v>20</v>
      </c>
    </row>
    <row r="35" ht="12.75">
      <c r="A35" s="193" t="s">
        <v>21</v>
      </c>
    </row>
    <row r="36" ht="12.75">
      <c r="A36" s="193" t="s">
        <v>22</v>
      </c>
    </row>
    <row r="37" ht="12.75">
      <c r="A37" s="1" t="s">
        <v>23</v>
      </c>
    </row>
    <row r="39" ht="12.75">
      <c r="A39" s="1" t="s">
        <v>443</v>
      </c>
    </row>
    <row r="40" ht="12.75">
      <c r="A40" s="1" t="s">
        <v>24</v>
      </c>
    </row>
    <row r="41" ht="12.75">
      <c r="A41" s="1" t="s">
        <v>25</v>
      </c>
    </row>
    <row r="43" ht="12.75">
      <c r="A43" s="1" t="s">
        <v>444</v>
      </c>
    </row>
    <row r="44" ht="12.75">
      <c r="A44" s="1" t="s">
        <v>445</v>
      </c>
    </row>
    <row r="45" ht="12.75">
      <c r="A45" s="1" t="s">
        <v>446</v>
      </c>
    </row>
    <row r="47" ht="12.75">
      <c r="A47" s="1" t="s">
        <v>0</v>
      </c>
    </row>
    <row r="48" ht="12.75">
      <c r="A48" s="1" t="s">
        <v>1</v>
      </c>
    </row>
    <row r="50" ht="12.75">
      <c r="A50" s="1" t="s">
        <v>26</v>
      </c>
    </row>
    <row r="51" ht="12.75">
      <c r="A51" s="1" t="s">
        <v>27</v>
      </c>
    </row>
    <row r="52" ht="12.75">
      <c r="A52" s="1" t="s">
        <v>28</v>
      </c>
    </row>
    <row r="54" ht="12.75">
      <c r="A54" s="3" t="s">
        <v>2</v>
      </c>
    </row>
    <row r="56" ht="12.75">
      <c r="A56" s="1" t="s">
        <v>29</v>
      </c>
    </row>
    <row r="57" ht="12.75">
      <c r="A57" s="1" t="s">
        <v>448</v>
      </c>
    </row>
    <row r="58" ht="12.75">
      <c r="A58" s="1" t="s">
        <v>449</v>
      </c>
    </row>
    <row r="60" ht="12.75">
      <c r="A60" s="3" t="s">
        <v>3</v>
      </c>
    </row>
    <row r="62" ht="12.75">
      <c r="A62" s="1" t="s">
        <v>4</v>
      </c>
    </row>
    <row r="63" ht="12.75">
      <c r="A63" s="1" t="s">
        <v>5</v>
      </c>
    </row>
    <row r="64" ht="12.75">
      <c r="A64" s="1" t="s">
        <v>6</v>
      </c>
    </row>
    <row r="66" ht="12.75">
      <c r="A66" s="1" t="s">
        <v>7</v>
      </c>
    </row>
    <row r="67" ht="12.75">
      <c r="A67" s="1" t="s">
        <v>8</v>
      </c>
    </row>
    <row r="69" ht="12.75">
      <c r="A69" s="1" t="s">
        <v>30</v>
      </c>
    </row>
    <row r="70" ht="12.75">
      <c r="A70" s="1" t="s">
        <v>31</v>
      </c>
    </row>
    <row r="72" ht="12.75">
      <c r="A72" s="1" t="s">
        <v>9</v>
      </c>
    </row>
    <row r="74" ht="12.75">
      <c r="A74" s="1" t="s">
        <v>10</v>
      </c>
    </row>
  </sheetData>
  <printOptions/>
  <pageMargins left="0.75" right="0.75" top="1" bottom="1" header="0.5" footer="0.5"/>
  <pageSetup fitToHeight="2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25">
      <selection activeCell="A31" sqref="A31"/>
    </sheetView>
  </sheetViews>
  <sheetFormatPr defaultColWidth="9.140625" defaultRowHeight="12.75"/>
  <cols>
    <col min="1" max="1" width="23.28125" style="1" customWidth="1"/>
    <col min="2" max="2" width="21.8515625" style="1" customWidth="1"/>
    <col min="3" max="3" width="20.8515625" style="10" customWidth="1"/>
    <col min="4" max="4" width="26.28125" style="1" bestFit="1" customWidth="1"/>
    <col min="5" max="5" width="9.140625" style="10" customWidth="1"/>
    <col min="6" max="6" width="9.140625" style="1" customWidth="1"/>
    <col min="7" max="7" width="9.140625" style="10" customWidth="1"/>
    <col min="8" max="16384" width="9.140625" style="1" customWidth="1"/>
  </cols>
  <sheetData>
    <row r="1" ht="18">
      <c r="A1" s="6" t="s">
        <v>86</v>
      </c>
    </row>
    <row r="3" ht="12.75">
      <c r="A3" s="3" t="s">
        <v>53</v>
      </c>
    </row>
    <row r="4" ht="12.75">
      <c r="A4" s="1" t="s">
        <v>180</v>
      </c>
    </row>
    <row r="5" ht="12.75">
      <c r="A5" s="3" t="s">
        <v>270</v>
      </c>
    </row>
    <row r="6" ht="12.75">
      <c r="A6" s="43" t="s">
        <v>390</v>
      </c>
    </row>
    <row r="7" ht="12.75">
      <c r="A7" s="43" t="s">
        <v>378</v>
      </c>
    </row>
    <row r="8" ht="12.75">
      <c r="A8" s="3" t="s">
        <v>87</v>
      </c>
    </row>
    <row r="9" ht="12.75">
      <c r="A9" s="1" t="s">
        <v>181</v>
      </c>
    </row>
    <row r="10" ht="12.75">
      <c r="A10" s="3" t="s">
        <v>271</v>
      </c>
    </row>
    <row r="11" ht="12.75">
      <c r="A11" s="43" t="s">
        <v>450</v>
      </c>
    </row>
    <row r="12" ht="12.75">
      <c r="A12" s="43" t="s">
        <v>405</v>
      </c>
    </row>
    <row r="13" ht="12.75">
      <c r="A13" s="3" t="s">
        <v>68</v>
      </c>
    </row>
    <row r="14" ht="12.75">
      <c r="A14" s="1" t="s">
        <v>182</v>
      </c>
    </row>
    <row r="15" ht="12.75">
      <c r="A15" s="3" t="s">
        <v>67</v>
      </c>
    </row>
    <row r="16" spans="1:7" s="43" customFormat="1" ht="12.75">
      <c r="A16" s="43" t="s">
        <v>183</v>
      </c>
      <c r="C16" s="38"/>
      <c r="E16" s="38"/>
      <c r="G16" s="38"/>
    </row>
    <row r="17" spans="1:7" s="43" customFormat="1" ht="12.75">
      <c r="A17" s="43" t="s">
        <v>184</v>
      </c>
      <c r="C17" s="38"/>
      <c r="E17" s="38"/>
      <c r="G17" s="38"/>
    </row>
    <row r="18" spans="1:7" s="43" customFormat="1" ht="12.75">
      <c r="A18" s="59" t="s">
        <v>152</v>
      </c>
      <c r="C18" s="38"/>
      <c r="E18" s="38"/>
      <c r="G18" s="38"/>
    </row>
    <row r="19" spans="1:7" s="43" customFormat="1" ht="12.75">
      <c r="A19" s="43" t="s">
        <v>185</v>
      </c>
      <c r="C19" s="38"/>
      <c r="E19" s="38"/>
      <c r="G19" s="38"/>
    </row>
    <row r="20" spans="1:7" ht="12.75">
      <c r="A20" s="3" t="s">
        <v>43</v>
      </c>
      <c r="C20" s="12"/>
      <c r="D20" s="2"/>
      <c r="E20" s="12"/>
      <c r="F20" s="2"/>
      <c r="G20" s="12"/>
    </row>
    <row r="21" spans="1:7" ht="12.75">
      <c r="A21" s="31" t="s">
        <v>186</v>
      </c>
      <c r="B21" s="31"/>
      <c r="C21" s="32"/>
      <c r="D21" s="33"/>
      <c r="E21" s="32"/>
      <c r="F21" s="33"/>
      <c r="G21" s="32"/>
    </row>
    <row r="22" ht="12.75">
      <c r="A22" s="3" t="s">
        <v>63</v>
      </c>
    </row>
    <row r="23" ht="12.75">
      <c r="A23" s="1" t="s">
        <v>187</v>
      </c>
    </row>
    <row r="24" ht="12.75">
      <c r="A24" s="3" t="s">
        <v>188</v>
      </c>
    </row>
    <row r="25" ht="12.75">
      <c r="A25" s="1" t="s">
        <v>189</v>
      </c>
    </row>
    <row r="26" ht="12.75">
      <c r="A26" s="3" t="s">
        <v>74</v>
      </c>
    </row>
    <row r="27" ht="12.75">
      <c r="A27" s="1" t="s">
        <v>190</v>
      </c>
    </row>
    <row r="28" ht="12.75">
      <c r="A28" s="3" t="s">
        <v>73</v>
      </c>
    </row>
    <row r="29" ht="12.75">
      <c r="A29" s="1" t="s">
        <v>191</v>
      </c>
    </row>
    <row r="30" ht="12.75">
      <c r="A30" s="3" t="s">
        <v>451</v>
      </c>
    </row>
    <row r="31" ht="12.75">
      <c r="A31" s="1" t="s">
        <v>409</v>
      </c>
    </row>
    <row r="32" ht="12.75">
      <c r="A32" s="1" t="s">
        <v>408</v>
      </c>
    </row>
    <row r="33" ht="12.75">
      <c r="A33" s="3" t="s">
        <v>147</v>
      </c>
    </row>
    <row r="34" ht="12.75">
      <c r="A34" s="1" t="s">
        <v>192</v>
      </c>
    </row>
    <row r="35" ht="12.75">
      <c r="A35" s="1" t="s">
        <v>193</v>
      </c>
    </row>
    <row r="36" ht="12.75">
      <c r="A36" s="3" t="s">
        <v>52</v>
      </c>
    </row>
    <row r="37" ht="12.75">
      <c r="A37" s="1" t="s">
        <v>194</v>
      </c>
    </row>
    <row r="38" ht="12.75">
      <c r="A38" s="3" t="s">
        <v>76</v>
      </c>
    </row>
    <row r="39" ht="12.75">
      <c r="A39" s="1" t="s">
        <v>88</v>
      </c>
    </row>
    <row r="40" ht="12.75">
      <c r="A40" s="3" t="s">
        <v>75</v>
      </c>
    </row>
    <row r="41" ht="12.75">
      <c r="A41" s="1" t="s">
        <v>195</v>
      </c>
    </row>
    <row r="42" ht="12.75">
      <c r="A42" s="3" t="s">
        <v>56</v>
      </c>
    </row>
    <row r="43" ht="12.75">
      <c r="A43" s="1" t="s">
        <v>196</v>
      </c>
    </row>
    <row r="44" ht="12.75">
      <c r="A44" s="3" t="s">
        <v>55</v>
      </c>
    </row>
    <row r="45" ht="12.75">
      <c r="A45" s="1" t="s">
        <v>197</v>
      </c>
    </row>
    <row r="46" ht="12.75">
      <c r="A46" s="3" t="s">
        <v>198</v>
      </c>
    </row>
    <row r="47" ht="12.75">
      <c r="A47" s="1" t="s">
        <v>199</v>
      </c>
    </row>
    <row r="48" ht="12.75">
      <c r="A48" s="3" t="s">
        <v>200</v>
      </c>
    </row>
    <row r="49" s="79" customFormat="1" ht="12.75">
      <c r="A49" s="1" t="s">
        <v>406</v>
      </c>
    </row>
    <row r="50" s="79" customFormat="1" ht="12.75">
      <c r="A50" s="1" t="s">
        <v>407</v>
      </c>
    </row>
    <row r="51" ht="12.75">
      <c r="A51" s="3" t="s">
        <v>201</v>
      </c>
    </row>
    <row r="52" ht="12.75">
      <c r="A52" s="1" t="s">
        <v>202</v>
      </c>
    </row>
    <row r="53" ht="12.75" hidden="1"/>
    <row r="55" ht="18">
      <c r="A55" s="6" t="s">
        <v>89</v>
      </c>
    </row>
    <row r="56" ht="12.75" hidden="1"/>
    <row r="57" spans="2:4" ht="12.75">
      <c r="B57" s="34" t="s">
        <v>90</v>
      </c>
      <c r="C57" s="35" t="s">
        <v>91</v>
      </c>
      <c r="D57" s="34" t="s">
        <v>92</v>
      </c>
    </row>
    <row r="58" ht="12.75">
      <c r="A58" s="3"/>
    </row>
    <row r="59" ht="12.75">
      <c r="A59" s="1" t="s">
        <v>203</v>
      </c>
    </row>
    <row r="60" spans="1:4" ht="12.75">
      <c r="A60" s="21" t="s">
        <v>93</v>
      </c>
      <c r="B60" s="44" t="s">
        <v>391</v>
      </c>
      <c r="C60" s="45" t="s">
        <v>177</v>
      </c>
      <c r="D60" s="175" t="s">
        <v>204</v>
      </c>
    </row>
    <row r="61" spans="1:4" ht="12.75">
      <c r="A61" s="21" t="s">
        <v>94</v>
      </c>
      <c r="B61" s="44" t="s">
        <v>207</v>
      </c>
      <c r="C61" s="45" t="s">
        <v>178</v>
      </c>
      <c r="D61" s="175" t="s">
        <v>205</v>
      </c>
    </row>
    <row r="62" spans="1:4" ht="12.75">
      <c r="A62" s="21" t="s">
        <v>95</v>
      </c>
      <c r="B62" s="44" t="s">
        <v>208</v>
      </c>
      <c r="C62" s="45" t="s">
        <v>179</v>
      </c>
      <c r="D62" s="175" t="s">
        <v>206</v>
      </c>
    </row>
  </sheetData>
  <hyperlinks>
    <hyperlink ref="D62" r:id="rId1" display="graeme@tier1ir.co.za"/>
    <hyperlink ref="D61" r:id="rId2" display="sue@tier1ir.co.za"/>
    <hyperlink ref="D60" r:id="rId3" display="don@tier1ir.co.za"/>
  </hyperlinks>
  <printOptions/>
  <pageMargins left="0.75" right="0.75" top="1" bottom="0.56" header="0.5" footer="0.5"/>
  <pageSetup fitToHeight="1" fitToWidth="1" horizontalDpi="600" verticalDpi="600" orientation="landscape" paperSize="9" scale="6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34.57421875" style="43" customWidth="1"/>
    <col min="2" max="2" width="31.28125" style="43" customWidth="1"/>
    <col min="3" max="3" width="5.57421875" style="43" bestFit="1" customWidth="1"/>
    <col min="4" max="4" width="1.7109375" style="43" customWidth="1"/>
    <col min="5" max="5" width="22.00390625" style="47" bestFit="1" customWidth="1"/>
    <col min="6" max="6" width="1.7109375" style="43" customWidth="1"/>
    <col min="7" max="7" width="17.57421875" style="38" bestFit="1" customWidth="1"/>
    <col min="8" max="8" width="1.7109375" style="43" customWidth="1"/>
    <col min="9" max="16384" width="9.140625" style="43" customWidth="1"/>
  </cols>
  <sheetData>
    <row r="1" spans="1:2" ht="18">
      <c r="A1" s="53" t="s">
        <v>296</v>
      </c>
      <c r="B1" s="53"/>
    </row>
    <row r="3" spans="5:8" ht="12.75">
      <c r="E3" s="54" t="str">
        <f>'Financial Highlights - cont ops'!E3</f>
        <v>Year to</v>
      </c>
      <c r="F3" s="55"/>
      <c r="G3" s="56" t="str">
        <f>'Financial Highlights - cont ops'!G3</f>
        <v>Year to</v>
      </c>
      <c r="H3" s="55"/>
    </row>
    <row r="4" spans="1:8" ht="12.75">
      <c r="A4" s="57"/>
      <c r="B4" s="57"/>
      <c r="C4" s="57"/>
      <c r="D4" s="57"/>
      <c r="E4" s="84" t="str">
        <f>'Financial Highlights - cont ops'!E4</f>
        <v>31 August 2004</v>
      </c>
      <c r="F4" s="58"/>
      <c r="G4" s="85" t="str">
        <f>'Financial Highlights - cont ops'!G4</f>
        <v>31 August 2003</v>
      </c>
      <c r="H4" s="58"/>
    </row>
    <row r="6" spans="1:2" ht="12.75">
      <c r="A6" s="59" t="s">
        <v>39</v>
      </c>
      <c r="B6" s="59"/>
    </row>
    <row r="7" spans="1:7" ht="12.75">
      <c r="A7" s="60" t="s">
        <v>40</v>
      </c>
      <c r="B7" s="60"/>
      <c r="C7" s="43" t="s">
        <v>41</v>
      </c>
      <c r="E7" s="47">
        <f>'Income Statement'!O7</f>
        <v>8048802</v>
      </c>
      <c r="G7" s="38">
        <f>'Income Statement'!Q7</f>
        <v>7367739</v>
      </c>
    </row>
    <row r="8" spans="1:7" ht="12.75">
      <c r="A8" s="60" t="s">
        <v>150</v>
      </c>
      <c r="B8" s="60"/>
      <c r="C8" s="43" t="s">
        <v>41</v>
      </c>
      <c r="E8" s="47">
        <f>'Income Statement'!O10</f>
        <v>1747350</v>
      </c>
      <c r="G8" s="38">
        <f>'Income Statement'!Q10</f>
        <v>1756190</v>
      </c>
    </row>
    <row r="9" spans="1:7" ht="12.75">
      <c r="A9" s="60" t="s">
        <v>43</v>
      </c>
      <c r="B9" s="60"/>
      <c r="C9" s="43" t="s">
        <v>41</v>
      </c>
      <c r="E9" s="47">
        <f>'Income Statement'!O46</f>
        <v>270633.9</v>
      </c>
      <c r="G9" s="38">
        <f>'Income Statement'!Q46</f>
        <v>221296.2</v>
      </c>
    </row>
    <row r="10" spans="1:2" ht="12.75">
      <c r="A10" s="59" t="s">
        <v>44</v>
      </c>
      <c r="B10" s="59"/>
    </row>
    <row r="11" spans="1:7" ht="12.75">
      <c r="A11" s="60" t="s">
        <v>45</v>
      </c>
      <c r="B11" s="60"/>
      <c r="C11" s="43" t="s">
        <v>41</v>
      </c>
      <c r="E11" s="47">
        <f>'Balance Sheet'!C26</f>
        <v>1372697</v>
      </c>
      <c r="G11" s="38">
        <f>'Balance Sheet'!E26</f>
        <v>1608510</v>
      </c>
    </row>
    <row r="12" spans="1:7" ht="12.75">
      <c r="A12" s="60" t="s">
        <v>110</v>
      </c>
      <c r="B12" s="60"/>
      <c r="C12" s="43" t="s">
        <v>41</v>
      </c>
      <c r="E12" s="47">
        <f>'Balance Sheet'!C34</f>
        <v>259730</v>
      </c>
      <c r="G12" s="38">
        <f>'Balance Sheet'!E34</f>
        <v>343273</v>
      </c>
    </row>
    <row r="13" spans="1:7" ht="12.75">
      <c r="A13" s="60" t="s">
        <v>46</v>
      </c>
      <c r="B13" s="60"/>
      <c r="C13" s="43" t="s">
        <v>41</v>
      </c>
      <c r="E13" s="47">
        <f>'Balance Sheet'!C21</f>
        <v>3133634</v>
      </c>
      <c r="G13" s="38">
        <f>'Balance Sheet'!E21</f>
        <v>3453830</v>
      </c>
    </row>
    <row r="14" spans="1:2" ht="12.75">
      <c r="A14" s="59" t="s">
        <v>47</v>
      </c>
      <c r="B14" s="59"/>
    </row>
    <row r="15" spans="1:7" ht="12.75">
      <c r="A15" s="60" t="s">
        <v>209</v>
      </c>
      <c r="B15" s="60"/>
      <c r="C15" s="43" t="s">
        <v>41</v>
      </c>
      <c r="E15" s="47">
        <f>'Cash Flow'!C18</f>
        <v>218961.83699999982</v>
      </c>
      <c r="G15" s="38">
        <f>'Cash Flow'!E18</f>
        <v>337208</v>
      </c>
    </row>
    <row r="16" spans="1:7" ht="12.75">
      <c r="A16" s="60" t="s">
        <v>48</v>
      </c>
      <c r="B16" s="60"/>
      <c r="C16" s="43" t="s">
        <v>41</v>
      </c>
      <c r="E16" s="47">
        <f>-'Cash Flow'!C12</f>
        <v>59778</v>
      </c>
      <c r="G16" s="38">
        <f>-'Cash Flow'!E12</f>
        <v>84117</v>
      </c>
    </row>
    <row r="17" spans="1:7" ht="12.75">
      <c r="A17" s="60" t="s">
        <v>212</v>
      </c>
      <c r="B17" s="60"/>
      <c r="C17" s="43" t="s">
        <v>41</v>
      </c>
      <c r="E17" s="47">
        <f>-'Cash Flow'!C24</f>
        <v>180959</v>
      </c>
      <c r="G17" s="38">
        <f>-'Cash Flow'!E24</f>
        <v>203005</v>
      </c>
    </row>
    <row r="18" spans="1:7" ht="12.75">
      <c r="A18" s="60" t="s">
        <v>210</v>
      </c>
      <c r="B18" s="60"/>
      <c r="C18" s="43" t="s">
        <v>41</v>
      </c>
      <c r="E18" s="47">
        <f>'Income Statement'!O13</f>
        <v>109021</v>
      </c>
      <c r="G18" s="38">
        <f>'Income Statement'!Q13</f>
        <v>103726</v>
      </c>
    </row>
    <row r="19" spans="1:2" ht="12.75">
      <c r="A19" s="59" t="s">
        <v>49</v>
      </c>
      <c r="B19" s="59"/>
    </row>
    <row r="20" spans="1:7" ht="12.75">
      <c r="A20" s="60" t="s">
        <v>50</v>
      </c>
      <c r="B20" s="60"/>
      <c r="C20" s="43" t="s">
        <v>51</v>
      </c>
      <c r="E20" s="171">
        <f>(E7-G7)/G7*100</f>
        <v>9.243853507840058</v>
      </c>
      <c r="F20" s="172"/>
      <c r="G20" s="173">
        <f>(G7-5487791)/5487791*100</f>
        <v>34.25691685415862</v>
      </c>
    </row>
    <row r="21" spans="1:7" ht="12.75">
      <c r="A21" s="60" t="s">
        <v>213</v>
      </c>
      <c r="B21" s="82" t="s">
        <v>214</v>
      </c>
      <c r="C21" s="43" t="s">
        <v>51</v>
      </c>
      <c r="E21" s="171">
        <v>8.1</v>
      </c>
      <c r="F21" s="172"/>
      <c r="G21" s="173">
        <v>8</v>
      </c>
    </row>
    <row r="22" spans="1:7" ht="12.75">
      <c r="A22" s="60" t="s">
        <v>153</v>
      </c>
      <c r="B22" s="60"/>
      <c r="C22" s="43" t="s">
        <v>51</v>
      </c>
      <c r="E22" s="171">
        <f>(E8-G8)/G8*100</f>
        <v>-0.5033623924518418</v>
      </c>
      <c r="F22" s="172"/>
      <c r="G22" s="173">
        <f>(G8-1555401)/1555401*100</f>
        <v>12.90914690166716</v>
      </c>
    </row>
    <row r="23" spans="1:7" ht="12.75">
      <c r="A23" s="60" t="s">
        <v>152</v>
      </c>
      <c r="B23" s="60"/>
      <c r="C23" s="43" t="s">
        <v>51</v>
      </c>
      <c r="E23" s="171">
        <f>E8/E7*100</f>
        <v>21.70944197658235</v>
      </c>
      <c r="F23" s="172"/>
      <c r="G23" s="173">
        <f>G8/G7*100</f>
        <v>23.836213524936213</v>
      </c>
    </row>
    <row r="24" spans="1:7" ht="12.75">
      <c r="A24" s="60" t="s">
        <v>188</v>
      </c>
      <c r="B24" s="60"/>
      <c r="C24" s="43" t="s">
        <v>54</v>
      </c>
      <c r="E24" s="171">
        <v>5.6</v>
      </c>
      <c r="F24" s="172"/>
      <c r="G24" s="173">
        <f>7367739/'Balance Sheet'!E16</f>
        <v>5.258685382006922</v>
      </c>
    </row>
    <row r="25" spans="1:7" ht="12.75">
      <c r="A25" s="60" t="s">
        <v>55</v>
      </c>
      <c r="B25" s="60"/>
      <c r="C25" s="43" t="s">
        <v>51</v>
      </c>
      <c r="E25" s="171">
        <f>E9/((E13+G13)/2)*100</f>
        <v>8.216633897354127</v>
      </c>
      <c r="F25" s="172"/>
      <c r="G25" s="173">
        <f>G9/((G13+2468580)/2)*100</f>
        <v>7.4731806815131</v>
      </c>
    </row>
    <row r="26" spans="1:7" ht="12.75">
      <c r="A26" s="60" t="s">
        <v>56</v>
      </c>
      <c r="B26" s="60"/>
      <c r="C26" s="43" t="s">
        <v>51</v>
      </c>
      <c r="E26" s="171">
        <f>E9/((E11+G11)/2)*100</f>
        <v>18.15599520596859</v>
      </c>
      <c r="F26" s="172"/>
      <c r="G26" s="173">
        <v>15.6</v>
      </c>
    </row>
    <row r="27" spans="1:7" ht="12.75">
      <c r="A27" s="60" t="s">
        <v>451</v>
      </c>
      <c r="B27" s="60"/>
      <c r="C27" s="43" t="s">
        <v>51</v>
      </c>
      <c r="E27" s="171">
        <f>('Balance Sheet'!C34+'Balance Sheet'!C39+'Balance Sheet'!C40)/'Balance Sheet'!C26*100</f>
        <v>25.443269709192922</v>
      </c>
      <c r="F27" s="172"/>
      <c r="G27" s="173">
        <f>('Balance Sheet'!E34+'Balance Sheet'!E39+'Balance Sheet'!E40)/'Balance Sheet'!E26*100</f>
        <v>27.69873982754226</v>
      </c>
    </row>
    <row r="28" spans="1:7" s="59" customFormat="1" ht="12.75">
      <c r="A28" s="61" t="s">
        <v>168</v>
      </c>
      <c r="B28" s="61"/>
      <c r="E28" s="52"/>
      <c r="G28" s="52"/>
    </row>
    <row r="29" spans="1:8" ht="12.75">
      <c r="A29" s="60" t="s">
        <v>387</v>
      </c>
      <c r="B29" s="60"/>
      <c r="C29" s="43" t="s">
        <v>155</v>
      </c>
      <c r="E29" s="62">
        <v>4.8291</v>
      </c>
      <c r="F29" s="63"/>
      <c r="G29" s="64">
        <v>5.11686</v>
      </c>
      <c r="H29" s="63"/>
    </row>
    <row r="30" spans="1:8" ht="12.75">
      <c r="A30" s="60" t="s">
        <v>386</v>
      </c>
      <c r="B30" s="60"/>
      <c r="C30" s="43" t="s">
        <v>155</v>
      </c>
      <c r="E30" s="62">
        <v>4.81</v>
      </c>
      <c r="F30" s="63"/>
      <c r="G30" s="64">
        <v>4.72438</v>
      </c>
      <c r="H30" s="63"/>
    </row>
    <row r="31" spans="1:2" ht="12.75">
      <c r="A31" s="59" t="s">
        <v>57</v>
      </c>
      <c r="B31" s="59"/>
    </row>
    <row r="32" spans="1:7" ht="12.75">
      <c r="A32" s="60" t="s">
        <v>58</v>
      </c>
      <c r="B32" s="60"/>
      <c r="E32" s="47">
        <f>+'Segmental Analysis'!D32+'Segmental Analysis'!H55</f>
        <v>9011</v>
      </c>
      <c r="G32" s="38">
        <v>7973</v>
      </c>
    </row>
    <row r="33" spans="1:7" ht="12.75">
      <c r="A33" s="60" t="s">
        <v>59</v>
      </c>
      <c r="B33" s="66" t="s">
        <v>60</v>
      </c>
      <c r="E33" s="47">
        <f>+'Segmental Analysis'!D28+'Segmental Analysis'!H51</f>
        <v>681</v>
      </c>
      <c r="G33" s="38">
        <v>729</v>
      </c>
    </row>
    <row r="34" spans="2:7" ht="12.75">
      <c r="B34" s="66" t="s">
        <v>61</v>
      </c>
      <c r="E34" s="47">
        <f>+'Segmental Analysis'!D29+'Segmental Analysis'!H52</f>
        <v>233</v>
      </c>
      <c r="G34" s="38">
        <v>519</v>
      </c>
    </row>
    <row r="35" spans="1:7" ht="12.75">
      <c r="A35" s="60" t="s">
        <v>118</v>
      </c>
      <c r="B35" s="66" t="s">
        <v>60</v>
      </c>
      <c r="C35" s="43" t="s">
        <v>116</v>
      </c>
      <c r="E35" s="47">
        <f>'Segmental Analysis'!D30</f>
        <v>249077</v>
      </c>
      <c r="G35" s="38">
        <v>273636</v>
      </c>
    </row>
    <row r="36" spans="1:2" ht="12.75">
      <c r="A36" s="59" t="s">
        <v>130</v>
      </c>
      <c r="B36" s="59"/>
    </row>
    <row r="37" spans="1:7" ht="12.75">
      <c r="A37" s="60" t="s">
        <v>350</v>
      </c>
      <c r="B37" s="60"/>
      <c r="C37" s="43" t="s">
        <v>62</v>
      </c>
      <c r="E37" s="47">
        <f>'Changes in Equity'!C38</f>
        <v>361205</v>
      </c>
      <c r="G37" s="38">
        <f>'Changes in Equity'!C26</f>
        <v>354118</v>
      </c>
    </row>
    <row r="38" spans="1:7" ht="12.75">
      <c r="A38" s="60" t="s">
        <v>351</v>
      </c>
      <c r="B38" s="60"/>
      <c r="C38" s="43" t="s">
        <v>62</v>
      </c>
      <c r="E38" s="47">
        <f>E37-13005-2809</f>
        <v>345391</v>
      </c>
      <c r="G38" s="38">
        <f>G37</f>
        <v>354118</v>
      </c>
    </row>
    <row r="39" spans="1:7" ht="12.75">
      <c r="A39" s="60" t="s">
        <v>145</v>
      </c>
      <c r="B39" s="60"/>
      <c r="C39" s="43" t="s">
        <v>62</v>
      </c>
      <c r="E39" s="47">
        <v>353571</v>
      </c>
      <c r="G39" s="38">
        <v>337587</v>
      </c>
    </row>
    <row r="40" spans="1:7" ht="12.75">
      <c r="A40" s="60" t="s">
        <v>146</v>
      </c>
      <c r="B40" s="60"/>
      <c r="C40" s="43" t="s">
        <v>62</v>
      </c>
      <c r="E40" s="47">
        <v>363046</v>
      </c>
      <c r="G40" s="38">
        <v>342906</v>
      </c>
    </row>
    <row r="41" spans="1:7" ht="12.75">
      <c r="A41" s="60" t="s">
        <v>63</v>
      </c>
      <c r="B41" s="66" t="s">
        <v>64</v>
      </c>
      <c r="C41" s="43" t="s">
        <v>65</v>
      </c>
      <c r="E41" s="52">
        <f>E9/E39*100</f>
        <v>76.54301399153212</v>
      </c>
      <c r="G41" s="40">
        <f>G9/G39*100</f>
        <v>65.55234650623395</v>
      </c>
    </row>
    <row r="42" spans="2:7" ht="12.75">
      <c r="B42" s="66" t="s">
        <v>66</v>
      </c>
      <c r="C42" s="43" t="s">
        <v>65</v>
      </c>
      <c r="E42" s="52">
        <f>E9/E40*100</f>
        <v>74.54534687064451</v>
      </c>
      <c r="G42" s="40">
        <f>G9/G40*100</f>
        <v>64.53552868716208</v>
      </c>
    </row>
    <row r="43" spans="1:7" ht="12.75">
      <c r="A43" s="60" t="s">
        <v>344</v>
      </c>
      <c r="B43" s="82" t="s">
        <v>388</v>
      </c>
      <c r="C43" s="43" t="s">
        <v>65</v>
      </c>
      <c r="E43" s="52">
        <v>12.5</v>
      </c>
      <c r="G43" s="40">
        <v>10.9</v>
      </c>
    </row>
    <row r="44" spans="1:7" ht="12.75">
      <c r="A44" s="153"/>
      <c r="B44" s="82" t="s">
        <v>345</v>
      </c>
      <c r="C44" s="43" t="s">
        <v>65</v>
      </c>
      <c r="E44" s="52">
        <v>22.5</v>
      </c>
      <c r="G44" s="40">
        <v>15.1</v>
      </c>
    </row>
    <row r="45" spans="1:7" ht="12.75">
      <c r="A45" s="60" t="s">
        <v>68</v>
      </c>
      <c r="B45" s="60"/>
      <c r="C45" s="43" t="s">
        <v>54</v>
      </c>
      <c r="E45" s="52">
        <f>E42/(E43+E44)+0.1</f>
        <v>2.229867053446986</v>
      </c>
      <c r="G45" s="40">
        <f>G42/(G43+G44)</f>
        <v>2.4821357187370032</v>
      </c>
    </row>
    <row r="46" spans="1:7" ht="12.75">
      <c r="A46" s="60" t="s">
        <v>69</v>
      </c>
      <c r="B46" s="66" t="s">
        <v>70</v>
      </c>
      <c r="C46" s="43" t="s">
        <v>65</v>
      </c>
      <c r="E46" s="47">
        <v>770</v>
      </c>
      <c r="G46" s="38">
        <v>665</v>
      </c>
    </row>
    <row r="47" spans="2:7" ht="12.75">
      <c r="B47" s="66" t="s">
        <v>71</v>
      </c>
      <c r="C47" s="43" t="s">
        <v>65</v>
      </c>
      <c r="E47" s="47">
        <v>799</v>
      </c>
      <c r="G47" s="38">
        <v>715</v>
      </c>
    </row>
    <row r="48" spans="2:7" ht="12.75">
      <c r="B48" s="66" t="s">
        <v>72</v>
      </c>
      <c r="C48" s="43" t="s">
        <v>65</v>
      </c>
      <c r="E48" s="47">
        <v>660</v>
      </c>
      <c r="G48" s="38">
        <v>501</v>
      </c>
    </row>
    <row r="49" spans="1:7" ht="12.75">
      <c r="A49" s="60" t="s">
        <v>73</v>
      </c>
      <c r="B49" s="60"/>
      <c r="C49" s="43" t="s">
        <v>65</v>
      </c>
      <c r="E49" s="47">
        <f>'Balance Sheet'!C26/'Financial Highlights - group'!E37*100</f>
        <v>380.0326684292853</v>
      </c>
      <c r="G49" s="38">
        <f>'Balance Sheet'!E26/'Financial Highlights - group'!G37*100</f>
        <v>454.22994595022</v>
      </c>
    </row>
    <row r="50" spans="1:7" ht="12.75">
      <c r="A50" s="60" t="s">
        <v>147</v>
      </c>
      <c r="B50" s="60"/>
      <c r="C50" s="43" t="s">
        <v>65</v>
      </c>
      <c r="E50" s="47">
        <f>('Balance Sheet'!C26-'Balance Sheet'!C10-'Balance Sheet'!C11)/'Financial Highlights - group'!E37*100</f>
        <v>351.7357179441038</v>
      </c>
      <c r="G50" s="38">
        <f>('Balance Sheet'!E26-'Balance Sheet'!E10-'Balance Sheet'!E11)/'Financial Highlights - group'!G37*100+2</f>
        <v>388.4932028306948</v>
      </c>
    </row>
    <row r="51" spans="1:7" ht="12.75">
      <c r="A51" s="60" t="s">
        <v>354</v>
      </c>
      <c r="B51" s="60"/>
      <c r="C51" s="43" t="s">
        <v>41</v>
      </c>
      <c r="E51" s="47">
        <f>E46*E37/100</f>
        <v>2781278.5</v>
      </c>
      <c r="G51" s="38">
        <f>G46*G37/100</f>
        <v>2354884.7</v>
      </c>
    </row>
    <row r="52" spans="1:7" ht="12.75">
      <c r="A52" s="60" t="s">
        <v>355</v>
      </c>
      <c r="B52" s="60"/>
      <c r="C52" s="43" t="s">
        <v>41</v>
      </c>
      <c r="E52" s="47">
        <f>E38*E46/100</f>
        <v>2659510.7</v>
      </c>
      <c r="G52" s="38">
        <f>G38*G46/100</f>
        <v>2354884.7</v>
      </c>
    </row>
    <row r="53" spans="1:7" ht="12.75">
      <c r="A53" s="60" t="s">
        <v>174</v>
      </c>
      <c r="B53" s="60"/>
      <c r="E53" s="52">
        <f>E46/(E41)</f>
        <v>10.059703163572633</v>
      </c>
      <c r="G53" s="40">
        <f>G46/(G41)</f>
        <v>10.144564389266513</v>
      </c>
    </row>
    <row r="54" spans="1:7" ht="12.75">
      <c r="A54" s="60" t="s">
        <v>144</v>
      </c>
      <c r="B54" s="60"/>
      <c r="C54" s="43" t="s">
        <v>62</v>
      </c>
      <c r="E54" s="47">
        <v>163031</v>
      </c>
      <c r="G54" s="38">
        <v>156283</v>
      </c>
    </row>
    <row r="55" spans="1:7" ht="12.75">
      <c r="A55" s="60" t="s">
        <v>76</v>
      </c>
      <c r="B55" s="60"/>
      <c r="C55" s="43" t="s">
        <v>51</v>
      </c>
      <c r="E55" s="52">
        <f>E54/E39*100</f>
        <v>46.10983366848526</v>
      </c>
      <c r="G55" s="40">
        <f>G54/G39*100</f>
        <v>46.29414047341871</v>
      </c>
    </row>
    <row r="56" spans="1:7" ht="12.75">
      <c r="A56" s="60" t="s">
        <v>286</v>
      </c>
      <c r="B56" s="60"/>
      <c r="C56" s="43" t="s">
        <v>51</v>
      </c>
      <c r="E56" s="52">
        <f>(E37-4174)/E37*100</f>
        <v>98.8444235268061</v>
      </c>
      <c r="G56" s="40">
        <v>92.7</v>
      </c>
    </row>
    <row r="58" ht="12.75">
      <c r="E58" s="78"/>
    </row>
  </sheetData>
  <printOptions/>
  <pageMargins left="0.75" right="0.75" top="1" bottom="0.65" header="0.5" footer="0.5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pane xSplit="1" ySplit="4" topLeftCell="B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5" sqref="B5"/>
    </sheetView>
  </sheetViews>
  <sheetFormatPr defaultColWidth="9.140625" defaultRowHeight="12.75"/>
  <cols>
    <col min="1" max="1" width="34.57421875" style="43" customWidth="1"/>
    <col min="2" max="2" width="31.28125" style="43" customWidth="1"/>
    <col min="3" max="3" width="5.57421875" style="43" bestFit="1" customWidth="1"/>
    <col min="4" max="4" width="1.7109375" style="43" customWidth="1"/>
    <col min="5" max="5" width="22.00390625" style="47" bestFit="1" customWidth="1"/>
    <col min="6" max="6" width="1.7109375" style="43" customWidth="1"/>
    <col min="7" max="7" width="17.57421875" style="38" bestFit="1" customWidth="1"/>
    <col min="8" max="8" width="1.7109375" style="43" customWidth="1"/>
    <col min="9" max="16384" width="9.140625" style="43" customWidth="1"/>
  </cols>
  <sheetData>
    <row r="1" spans="1:2" ht="18">
      <c r="A1" s="53" t="s">
        <v>287</v>
      </c>
      <c r="B1" s="53"/>
    </row>
    <row r="3" spans="5:8" ht="12.75">
      <c r="E3" s="54" t="s">
        <v>38</v>
      </c>
      <c r="F3" s="55"/>
      <c r="G3" s="56" t="s">
        <v>38</v>
      </c>
      <c r="H3" s="55"/>
    </row>
    <row r="4" spans="1:8" ht="12.75">
      <c r="A4" s="57"/>
      <c r="B4" s="57"/>
      <c r="C4" s="57"/>
      <c r="D4" s="57"/>
      <c r="E4" s="119" t="s">
        <v>299</v>
      </c>
      <c r="F4" s="58"/>
      <c r="G4" s="121" t="s">
        <v>211</v>
      </c>
      <c r="H4" s="58"/>
    </row>
    <row r="6" spans="1:2" ht="12.75">
      <c r="A6" s="59" t="s">
        <v>39</v>
      </c>
      <c r="B6" s="59"/>
    </row>
    <row r="7" spans="1:7" ht="12.75">
      <c r="A7" s="60" t="s">
        <v>40</v>
      </c>
      <c r="B7" s="60"/>
      <c r="C7" s="43" t="s">
        <v>41</v>
      </c>
      <c r="E7" s="47">
        <f>'Income Statement'!C7</f>
        <v>7394151</v>
      </c>
      <c r="G7" s="38">
        <f>'Income Statement'!E7</f>
        <v>5747958</v>
      </c>
    </row>
    <row r="8" spans="1:7" ht="12.75">
      <c r="A8" s="60" t="s">
        <v>150</v>
      </c>
      <c r="B8" s="60"/>
      <c r="C8" s="43" t="s">
        <v>41</v>
      </c>
      <c r="E8" s="47">
        <f>'Income Statement'!C10</f>
        <v>1537609</v>
      </c>
      <c r="G8" s="38">
        <f>'Income Statement'!E10</f>
        <v>1212159</v>
      </c>
    </row>
    <row r="9" spans="1:7" ht="12.75">
      <c r="A9" s="60" t="s">
        <v>43</v>
      </c>
      <c r="B9" s="60"/>
      <c r="C9" s="43" t="s">
        <v>41</v>
      </c>
      <c r="E9" s="47">
        <f>'Income Statement'!C46</f>
        <v>248068.2</v>
      </c>
      <c r="G9" s="38">
        <f>'Income Statement'!E46</f>
        <v>207715</v>
      </c>
    </row>
    <row r="10" spans="1:2" ht="12.75">
      <c r="A10" s="59" t="s">
        <v>44</v>
      </c>
      <c r="B10" s="59"/>
    </row>
    <row r="11" spans="1:7" ht="12.75">
      <c r="A11" s="60" t="s">
        <v>45</v>
      </c>
      <c r="B11" s="60"/>
      <c r="C11" s="43" t="s">
        <v>41</v>
      </c>
      <c r="E11" s="47">
        <f>'Operational Segmental BS'!M27</f>
        <v>1372697</v>
      </c>
      <c r="G11" s="38">
        <f>'Operational Segmental BS'!O27</f>
        <v>1230618</v>
      </c>
    </row>
    <row r="12" spans="1:7" ht="12.75">
      <c r="A12" s="60" t="s">
        <v>110</v>
      </c>
      <c r="B12" s="60"/>
      <c r="C12" s="43" t="s">
        <v>41</v>
      </c>
      <c r="E12" s="47">
        <f>'Operational Segmental BS'!M36</f>
        <v>259730</v>
      </c>
      <c r="G12" s="38">
        <f>'Operational Segmental BS'!O36</f>
        <v>333414</v>
      </c>
    </row>
    <row r="13" spans="1:7" ht="12.75">
      <c r="A13" s="60" t="s">
        <v>46</v>
      </c>
      <c r="B13" s="60"/>
      <c r="C13" s="43" t="s">
        <v>41</v>
      </c>
      <c r="E13" s="47">
        <f>'Operational Segmental BS'!M22</f>
        <v>3133634</v>
      </c>
      <c r="G13" s="38">
        <f>'Operational Segmental BS'!O22</f>
        <v>2803690</v>
      </c>
    </row>
    <row r="14" spans="1:2" ht="12.75">
      <c r="A14" s="59" t="s">
        <v>49</v>
      </c>
      <c r="B14" s="59"/>
    </row>
    <row r="15" spans="1:7" ht="12.75">
      <c r="A15" s="60" t="s">
        <v>50</v>
      </c>
      <c r="B15" s="60"/>
      <c r="C15" s="43" t="s">
        <v>51</v>
      </c>
      <c r="E15" s="171">
        <f>(E7-G7)/G7*100</f>
        <v>28.63961427693104</v>
      </c>
      <c r="F15" s="172"/>
      <c r="G15" s="173">
        <f>(G7-3896184)/3896184*100</f>
        <v>47.527888826605725</v>
      </c>
    </row>
    <row r="16" spans="1:7" ht="12.75">
      <c r="A16" s="60" t="s">
        <v>213</v>
      </c>
      <c r="B16" s="82" t="s">
        <v>214</v>
      </c>
      <c r="C16" s="43" t="s">
        <v>51</v>
      </c>
      <c r="E16" s="171">
        <f>'Financial Highlights - group'!E21</f>
        <v>8.1</v>
      </c>
      <c r="F16" s="172"/>
      <c r="G16" s="173">
        <f>'Financial Highlights - group'!G21</f>
        <v>8</v>
      </c>
    </row>
    <row r="17" spans="1:7" ht="12.75">
      <c r="A17" s="60" t="s">
        <v>153</v>
      </c>
      <c r="B17" s="60"/>
      <c r="C17" s="43" t="s">
        <v>51</v>
      </c>
      <c r="E17" s="171">
        <f>(E8-G8)/G8*100</f>
        <v>26.848787989034438</v>
      </c>
      <c r="F17" s="172"/>
      <c r="G17" s="173">
        <f>(G8-1008246)/1008246*100</f>
        <v>20.224528537678303</v>
      </c>
    </row>
    <row r="18" spans="1:7" ht="12.75">
      <c r="A18" s="60" t="s">
        <v>152</v>
      </c>
      <c r="B18" s="60"/>
      <c r="C18" s="43" t="s">
        <v>51</v>
      </c>
      <c r="E18" s="171">
        <f>E8/E7*100</f>
        <v>20.79493643015946</v>
      </c>
      <c r="F18" s="172"/>
      <c r="G18" s="173">
        <f>G8/G7*100</f>
        <v>21.08851526054992</v>
      </c>
    </row>
    <row r="19" spans="1:7" ht="12.75">
      <c r="A19" s="60" t="s">
        <v>188</v>
      </c>
      <c r="B19" s="60"/>
      <c r="C19" s="43" t="s">
        <v>54</v>
      </c>
      <c r="E19" s="171">
        <v>5.6</v>
      </c>
      <c r="F19" s="172"/>
      <c r="G19" s="173">
        <f>5747958/'Operational Segmental BS'!O17</f>
        <v>5.111440533272626</v>
      </c>
    </row>
    <row r="20" spans="1:8" ht="12.75">
      <c r="A20" s="60" t="s">
        <v>55</v>
      </c>
      <c r="B20" s="60"/>
      <c r="C20" s="43" t="s">
        <v>51</v>
      </c>
      <c r="E20" s="171">
        <f>E9/((E13+G13)/2)*100</f>
        <v>8.356229169908868</v>
      </c>
      <c r="F20" s="172"/>
      <c r="G20" s="173">
        <f>G9/((G13+1761193)/2)*100</f>
        <v>9.100561832581471</v>
      </c>
      <c r="H20" s="40"/>
    </row>
    <row r="21" spans="1:7" ht="12.75">
      <c r="A21" s="60" t="s">
        <v>56</v>
      </c>
      <c r="B21" s="60"/>
      <c r="C21" s="43" t="s">
        <v>51</v>
      </c>
      <c r="E21" s="171">
        <f>E9/((E11+G11)/2)*100</f>
        <v>19.057870445950645</v>
      </c>
      <c r="F21" s="172"/>
      <c r="G21" s="173">
        <f>G9/((G11+715928)/2)*100</f>
        <v>21.341905097542003</v>
      </c>
    </row>
    <row r="22" spans="1:7" ht="12.75">
      <c r="A22" s="60" t="s">
        <v>451</v>
      </c>
      <c r="B22" s="60"/>
      <c r="C22" s="43" t="s">
        <v>51</v>
      </c>
      <c r="E22" s="171">
        <f>('Operational Segmental BS'!M36+'Operational Segmental BS'!M41+'Operational Segmental BS'!M42)/'Operational Segmental BS'!M27*100</f>
        <v>25.443269709192922</v>
      </c>
      <c r="F22" s="172"/>
      <c r="G22" s="173">
        <f>('Operational Segmental BS'!O36+'Operational Segmental BS'!O41)/'Operational Segmental BS'!O27*100</f>
        <v>27.37965802547988</v>
      </c>
    </row>
    <row r="23" spans="1:2" ht="12.75">
      <c r="A23" s="59" t="s">
        <v>57</v>
      </c>
      <c r="B23" s="59"/>
    </row>
    <row r="24" spans="1:7" ht="12.75">
      <c r="A24" s="60" t="s">
        <v>58</v>
      </c>
      <c r="B24" s="60"/>
      <c r="E24" s="47">
        <f>'Segmental Analysis'!D32</f>
        <v>9011</v>
      </c>
      <c r="F24" s="47">
        <f>'Segmental Analysis'!E32</f>
        <v>0</v>
      </c>
      <c r="G24" s="38">
        <f>'Segmental Analysis'!F32</f>
        <v>6995</v>
      </c>
    </row>
    <row r="25" spans="1:7" ht="12.75">
      <c r="A25" s="60" t="s">
        <v>59</v>
      </c>
      <c r="B25" s="66" t="s">
        <v>60</v>
      </c>
      <c r="E25" s="47">
        <f>'Segmental Analysis'!D28</f>
        <v>681</v>
      </c>
      <c r="G25" s="38">
        <f>'Segmental Analysis'!F28</f>
        <v>593</v>
      </c>
    </row>
    <row r="26" spans="2:7" ht="12.75">
      <c r="B26" s="66" t="s">
        <v>61</v>
      </c>
      <c r="E26" s="47">
        <f>'Segmental Analysis'!D29</f>
        <v>233</v>
      </c>
      <c r="G26" s="38">
        <f>'Segmental Analysis'!F29</f>
        <v>321</v>
      </c>
    </row>
    <row r="27" spans="1:7" ht="12.75">
      <c r="A27" s="60" t="s">
        <v>118</v>
      </c>
      <c r="B27" s="66" t="s">
        <v>60</v>
      </c>
      <c r="C27" s="43" t="s">
        <v>116</v>
      </c>
      <c r="E27" s="47">
        <f>'Segmental Analysis'!D30</f>
        <v>249077</v>
      </c>
      <c r="G27" s="38">
        <f>'Segmental Analysis'!F30</f>
        <v>207526</v>
      </c>
    </row>
    <row r="28" spans="1:2" ht="12.75">
      <c r="A28" s="59" t="s">
        <v>130</v>
      </c>
      <c r="B28" s="59"/>
    </row>
    <row r="29" spans="1:7" ht="12.75">
      <c r="A29" s="60" t="s">
        <v>350</v>
      </c>
      <c r="B29" s="60"/>
      <c r="C29" s="43" t="s">
        <v>62</v>
      </c>
      <c r="E29" s="47">
        <f>'Financial Highlights - group'!E37</f>
        <v>361205</v>
      </c>
      <c r="G29" s="38">
        <f>'Financial Highlights - group'!G37</f>
        <v>354118</v>
      </c>
    </row>
    <row r="30" spans="1:7" ht="12.75">
      <c r="A30" s="60" t="s">
        <v>351</v>
      </c>
      <c r="B30" s="60"/>
      <c r="C30" s="43" t="s">
        <v>62</v>
      </c>
      <c r="E30" s="47">
        <f>'Financial Highlights - group'!E38</f>
        <v>345391</v>
      </c>
      <c r="G30" s="38">
        <f>'Financial Highlights - group'!G38</f>
        <v>354118</v>
      </c>
    </row>
    <row r="31" spans="1:7" ht="12.75">
      <c r="A31" s="60" t="s">
        <v>145</v>
      </c>
      <c r="B31" s="60"/>
      <c r="C31" s="43" t="s">
        <v>62</v>
      </c>
      <c r="E31" s="47">
        <f>'Financial Highlights - group'!E39</f>
        <v>353571</v>
      </c>
      <c r="G31" s="38">
        <f>'Financial Highlights - group'!G39</f>
        <v>337587</v>
      </c>
    </row>
    <row r="32" spans="1:7" ht="12.75">
      <c r="A32" s="60" t="s">
        <v>146</v>
      </c>
      <c r="B32" s="60"/>
      <c r="C32" s="43" t="s">
        <v>62</v>
      </c>
      <c r="E32" s="47">
        <f>'Financial Highlights - group'!E40</f>
        <v>363046</v>
      </c>
      <c r="G32" s="38">
        <f>'Financial Highlights - group'!G40</f>
        <v>342906</v>
      </c>
    </row>
    <row r="33" spans="1:7" ht="12.75">
      <c r="A33" s="60" t="s">
        <v>63</v>
      </c>
      <c r="B33" s="66" t="s">
        <v>64</v>
      </c>
      <c r="C33" s="43" t="s">
        <v>65</v>
      </c>
      <c r="E33" s="52">
        <f>E9/E31*100</f>
        <v>70.16078807368251</v>
      </c>
      <c r="G33" s="40">
        <f>G9/G31*100</f>
        <v>61.52932429270085</v>
      </c>
    </row>
    <row r="34" spans="2:7" ht="12.75">
      <c r="B34" s="66" t="s">
        <v>66</v>
      </c>
      <c r="C34" s="43" t="s">
        <v>65</v>
      </c>
      <c r="E34" s="52">
        <f>E9/E32*100</f>
        <v>68.32968824887205</v>
      </c>
      <c r="G34" s="40">
        <f>G9/G32*100</f>
        <v>60.574909742028424</v>
      </c>
    </row>
    <row r="35" spans="1:7" ht="12.75">
      <c r="A35" s="60" t="s">
        <v>73</v>
      </c>
      <c r="B35" s="60"/>
      <c r="C35" s="43" t="s">
        <v>65</v>
      </c>
      <c r="E35" s="47">
        <f>'Financial Highlights - group'!E49</f>
        <v>380.0326684292853</v>
      </c>
      <c r="G35" s="38">
        <f>'Operational Segmental BS'!O27/'Financial Highlights - cont ops'!G29*100</f>
        <v>347.51636460162996</v>
      </c>
    </row>
    <row r="36" spans="1:7" ht="12.75">
      <c r="A36" s="60" t="s">
        <v>147</v>
      </c>
      <c r="B36" s="60"/>
      <c r="C36" s="43" t="s">
        <v>65</v>
      </c>
      <c r="E36" s="47">
        <f>'Financial Highlights - group'!E50</f>
        <v>351.7357179441038</v>
      </c>
      <c r="G36" s="38">
        <f>('Operational Segmental BS'!O27-'Operational Segmental BS'!O10-'Operational Segmental BS'!O11)/'Financial Highlights - cont ops'!G29*100</f>
        <v>315.3717122541074</v>
      </c>
    </row>
    <row r="38" ht="12.75">
      <c r="E38" s="78"/>
    </row>
  </sheetData>
  <printOptions/>
  <pageMargins left="0.75" right="0.75" top="0.68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2" width="1.7109375" style="1" customWidth="1"/>
    <col min="3" max="3" width="19.421875" style="14" bestFit="1" customWidth="1"/>
    <col min="4" max="4" width="1.7109375" style="1" customWidth="1"/>
    <col min="5" max="5" width="15.421875" style="10" bestFit="1" customWidth="1"/>
    <col min="6" max="6" width="1.7109375" style="1" customWidth="1"/>
    <col min="7" max="16384" width="9.140625" style="1" customWidth="1"/>
  </cols>
  <sheetData>
    <row r="1" ht="18">
      <c r="A1" s="6" t="s">
        <v>160</v>
      </c>
    </row>
    <row r="3" spans="3:5" ht="12.75">
      <c r="C3" s="15" t="s">
        <v>156</v>
      </c>
      <c r="E3" s="12" t="s">
        <v>156</v>
      </c>
    </row>
    <row r="4" spans="1:6" ht="12.75">
      <c r="A4" s="8" t="s">
        <v>41</v>
      </c>
      <c r="B4" s="8"/>
      <c r="C4" s="80" t="s">
        <v>299</v>
      </c>
      <c r="D4" s="58"/>
      <c r="E4" s="81" t="s">
        <v>211</v>
      </c>
      <c r="F4" s="58"/>
    </row>
    <row r="6" ht="12.75">
      <c r="A6" s="3" t="s">
        <v>96</v>
      </c>
    </row>
    <row r="7" ht="4.5" customHeight="1"/>
    <row r="8" spans="1:5" ht="12.75">
      <c r="A8" s="1" t="s">
        <v>97</v>
      </c>
      <c r="C8" s="14">
        <f>SUM(C9:C13)</f>
        <v>859687</v>
      </c>
      <c r="E8" s="10">
        <f>SUM(E9:E13)</f>
        <v>1452501</v>
      </c>
    </row>
    <row r="9" spans="1:5" ht="12.75">
      <c r="A9" s="21" t="s">
        <v>172</v>
      </c>
      <c r="C9" s="25">
        <v>659347</v>
      </c>
      <c r="E9" s="16">
        <v>747263</v>
      </c>
    </row>
    <row r="10" spans="1:5" ht="12.75">
      <c r="A10" s="21" t="s">
        <v>220</v>
      </c>
      <c r="C10" s="26">
        <v>3930</v>
      </c>
      <c r="E10" s="17">
        <v>4580</v>
      </c>
    </row>
    <row r="11" spans="1:5" ht="12.75">
      <c r="A11" s="21" t="s">
        <v>98</v>
      </c>
      <c r="C11" s="26">
        <v>98280</v>
      </c>
      <c r="E11" s="17">
        <v>235288</v>
      </c>
    </row>
    <row r="12" spans="1:5" ht="12.75">
      <c r="A12" s="21" t="s">
        <v>215</v>
      </c>
      <c r="C12" s="26">
        <v>71676</v>
      </c>
      <c r="E12" s="17">
        <v>81363</v>
      </c>
    </row>
    <row r="13" spans="1:5" ht="12.75">
      <c r="A13" s="21" t="s">
        <v>99</v>
      </c>
      <c r="C13" s="27">
        <v>26454</v>
      </c>
      <c r="E13" s="18">
        <v>384007</v>
      </c>
    </row>
    <row r="14" ht="4.5" customHeight="1"/>
    <row r="15" spans="1:5" ht="12.75">
      <c r="A15" s="1" t="s">
        <v>100</v>
      </c>
      <c r="C15" s="14">
        <f>SUM(C16:C19)</f>
        <v>2273947</v>
      </c>
      <c r="E15" s="10">
        <f>SUM(E16:E19)</f>
        <v>2001329</v>
      </c>
    </row>
    <row r="16" spans="1:5" ht="12.75">
      <c r="A16" s="21" t="s">
        <v>101</v>
      </c>
      <c r="C16" s="25">
        <v>1411339</v>
      </c>
      <c r="E16" s="16">
        <v>1401061</v>
      </c>
    </row>
    <row r="17" spans="1:5" ht="12.75">
      <c r="A17" s="21" t="s">
        <v>102</v>
      </c>
      <c r="C17" s="26">
        <v>443762</v>
      </c>
      <c r="E17" s="17">
        <v>417305</v>
      </c>
    </row>
    <row r="18" spans="1:5" ht="12.75">
      <c r="A18" s="21" t="s">
        <v>159</v>
      </c>
      <c r="C18" s="26">
        <v>8442</v>
      </c>
      <c r="E18" s="17">
        <v>3754</v>
      </c>
    </row>
    <row r="19" spans="1:5" ht="12.75">
      <c r="A19" s="21" t="s">
        <v>216</v>
      </c>
      <c r="C19" s="26">
        <v>410404</v>
      </c>
      <c r="E19" s="17">
        <v>179209</v>
      </c>
    </row>
    <row r="20" spans="1:5" ht="4.5" customHeight="1">
      <c r="A20" s="21"/>
      <c r="C20" s="28"/>
      <c r="E20" s="19"/>
    </row>
    <row r="21" spans="1:5" ht="12.75">
      <c r="A21" s="1" t="s">
        <v>46</v>
      </c>
      <c r="C21" s="14">
        <f>SUM(C15+C8)</f>
        <v>3133634</v>
      </c>
      <c r="E21" s="10">
        <f>SUM(E15+E8)</f>
        <v>3453830</v>
      </c>
    </row>
    <row r="22" spans="3:5" ht="4.5" customHeight="1" thickBot="1">
      <c r="C22" s="30"/>
      <c r="E22" s="22"/>
    </row>
    <row r="24" ht="12.75">
      <c r="A24" s="3" t="s">
        <v>219</v>
      </c>
    </row>
    <row r="25" ht="4.5" customHeight="1"/>
    <row r="26" spans="1:5" ht="12.75">
      <c r="A26" s="1" t="s">
        <v>104</v>
      </c>
      <c r="C26" s="14">
        <f>SUM(C27:C31)</f>
        <v>1372697</v>
      </c>
      <c r="E26" s="10">
        <f>SUM(E27:E31)</f>
        <v>1608510</v>
      </c>
    </row>
    <row r="27" spans="1:7" ht="12.75">
      <c r="A27" s="21" t="s">
        <v>105</v>
      </c>
      <c r="C27" s="25">
        <v>3612</v>
      </c>
      <c r="E27" s="16">
        <v>3541</v>
      </c>
      <c r="G27" s="10"/>
    </row>
    <row r="28" spans="1:5" ht="12.75">
      <c r="A28" s="21" t="s">
        <v>106</v>
      </c>
      <c r="C28" s="26">
        <v>907107</v>
      </c>
      <c r="E28" s="17">
        <v>874153</v>
      </c>
    </row>
    <row r="29" spans="1:5" ht="12.75">
      <c r="A29" s="21" t="s">
        <v>313</v>
      </c>
      <c r="C29" s="26">
        <v>-122981</v>
      </c>
      <c r="E29" s="17">
        <v>0</v>
      </c>
    </row>
    <row r="30" spans="1:5" ht="12.75">
      <c r="A30" s="21" t="s">
        <v>107</v>
      </c>
      <c r="C30" s="26">
        <v>28942</v>
      </c>
      <c r="E30" s="17">
        <v>73722</v>
      </c>
    </row>
    <row r="31" spans="1:5" ht="12.75">
      <c r="A31" s="21" t="s">
        <v>108</v>
      </c>
      <c r="C31" s="27">
        <v>556017</v>
      </c>
      <c r="E31" s="18">
        <v>657094</v>
      </c>
    </row>
    <row r="32" ht="4.5" customHeight="1"/>
    <row r="33" ht="12.75">
      <c r="A33" s="1" t="s">
        <v>109</v>
      </c>
    </row>
    <row r="34" spans="1:5" ht="12.75">
      <c r="A34" s="21" t="s">
        <v>334</v>
      </c>
      <c r="C34" s="14">
        <v>259730</v>
      </c>
      <c r="E34" s="10">
        <v>343273</v>
      </c>
    </row>
    <row r="35" spans="1:5" ht="12.75">
      <c r="A35" s="21" t="s">
        <v>217</v>
      </c>
      <c r="C35" s="14">
        <v>18770</v>
      </c>
      <c r="E35" s="10">
        <v>15252</v>
      </c>
    </row>
    <row r="36" ht="4.5" customHeight="1"/>
    <row r="37" spans="1:5" ht="12.75">
      <c r="A37" s="1" t="s">
        <v>111</v>
      </c>
      <c r="C37" s="14">
        <f>SUM(C38:C41)</f>
        <v>1482437</v>
      </c>
      <c r="E37" s="10">
        <f>SUM(E38:E41)</f>
        <v>1486795</v>
      </c>
    </row>
    <row r="38" spans="1:5" ht="12.75">
      <c r="A38" s="21" t="s">
        <v>112</v>
      </c>
      <c r="C38" s="25">
        <v>1390084</v>
      </c>
      <c r="E38" s="16">
        <v>1373743</v>
      </c>
    </row>
    <row r="39" spans="1:5" ht="12.75">
      <c r="A39" s="21" t="s">
        <v>113</v>
      </c>
      <c r="C39" s="26">
        <v>8710</v>
      </c>
      <c r="E39" s="17">
        <v>33005</v>
      </c>
    </row>
    <row r="40" spans="1:5" ht="12.75">
      <c r="A40" s="21" t="s">
        <v>334</v>
      </c>
      <c r="C40" s="26">
        <v>80819</v>
      </c>
      <c r="E40" s="17">
        <v>69259</v>
      </c>
    </row>
    <row r="41" spans="1:5" ht="12.75">
      <c r="A41" s="21" t="s">
        <v>114</v>
      </c>
      <c r="C41" s="27">
        <v>2824</v>
      </c>
      <c r="E41" s="18">
        <v>10788</v>
      </c>
    </row>
    <row r="42" spans="1:5" ht="4.5" customHeight="1">
      <c r="A42" s="21"/>
      <c r="C42" s="29"/>
      <c r="E42" s="20"/>
    </row>
    <row r="43" spans="1:5" ht="12.75">
      <c r="A43" s="1" t="s">
        <v>218</v>
      </c>
      <c r="C43" s="14">
        <f>C37+C35+C34+C26</f>
        <v>3133634</v>
      </c>
      <c r="E43" s="10">
        <f>E37+E35+E34+E26</f>
        <v>3453830</v>
      </c>
    </row>
    <row r="44" spans="3:5" ht="4.5" customHeight="1" thickBot="1">
      <c r="C44" s="30"/>
      <c r="E44" s="22"/>
    </row>
    <row r="46" spans="3:5" ht="12.75">
      <c r="C46" s="11"/>
      <c r="E46" s="9"/>
    </row>
  </sheetData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52.7109375" style="43" customWidth="1"/>
    <col min="2" max="2" width="1.7109375" style="43" customWidth="1"/>
    <col min="3" max="3" width="14.00390625" style="47" bestFit="1" customWidth="1"/>
    <col min="4" max="4" width="1.7109375" style="43" customWidth="1"/>
    <col min="5" max="5" width="10.57421875" style="38" bestFit="1" customWidth="1"/>
    <col min="6" max="6" width="1.7109375" style="43" customWidth="1"/>
    <col min="7" max="7" width="9.140625" style="148" bestFit="1" customWidth="1"/>
    <col min="8" max="8" width="1.7109375" style="43" customWidth="1"/>
    <col min="9" max="9" width="12.7109375" style="48" bestFit="1" customWidth="1"/>
    <col min="10" max="10" width="1.7109375" style="43" customWidth="1"/>
    <col min="11" max="11" width="10.140625" style="43" bestFit="1" customWidth="1"/>
    <col min="12" max="12" width="1.7109375" style="43" customWidth="1"/>
    <col min="13" max="13" width="9.140625" style="150" bestFit="1" customWidth="1"/>
    <col min="14" max="14" width="1.7109375" style="43" customWidth="1"/>
    <col min="15" max="15" width="14.140625" style="112" bestFit="1" customWidth="1"/>
    <col min="16" max="16" width="1.7109375" style="43" customWidth="1"/>
    <col min="17" max="17" width="10.8515625" style="113" bestFit="1" customWidth="1"/>
    <col min="18" max="18" width="1.7109375" style="43" customWidth="1"/>
    <col min="19" max="19" width="9.140625" style="150" bestFit="1" customWidth="1"/>
    <col min="20" max="16384" width="9.140625" style="43" customWidth="1"/>
  </cols>
  <sheetData>
    <row r="1" ht="18">
      <c r="A1" s="53" t="s">
        <v>161</v>
      </c>
    </row>
    <row r="2" ht="12.75">
      <c r="A2" s="43" t="s">
        <v>404</v>
      </c>
    </row>
    <row r="3" spans="3:19" ht="12.75">
      <c r="C3" s="114" t="s">
        <v>294</v>
      </c>
      <c r="D3" s="115"/>
      <c r="E3" s="116"/>
      <c r="F3" s="115"/>
      <c r="G3" s="149"/>
      <c r="I3" s="114" t="s">
        <v>303</v>
      </c>
      <c r="J3" s="115"/>
      <c r="K3" s="116"/>
      <c r="L3" s="115"/>
      <c r="M3" s="151"/>
      <c r="O3" s="117" t="s">
        <v>304</v>
      </c>
      <c r="P3" s="115"/>
      <c r="Q3" s="118"/>
      <c r="R3" s="115"/>
      <c r="S3" s="151"/>
    </row>
    <row r="4" spans="1:19" ht="12.75">
      <c r="A4" s="57" t="s">
        <v>41</v>
      </c>
      <c r="B4" s="57"/>
      <c r="C4" s="119">
        <v>2004</v>
      </c>
      <c r="D4" s="120"/>
      <c r="E4" s="121">
        <v>2003</v>
      </c>
      <c r="F4" s="58"/>
      <c r="G4" s="174" t="s">
        <v>389</v>
      </c>
      <c r="H4" s="58"/>
      <c r="I4" s="119">
        <v>2004</v>
      </c>
      <c r="J4" s="120"/>
      <c r="K4" s="121">
        <v>2003</v>
      </c>
      <c r="L4" s="58"/>
      <c r="M4" s="174" t="s">
        <v>389</v>
      </c>
      <c r="O4" s="119">
        <v>2004</v>
      </c>
      <c r="P4" s="120"/>
      <c r="Q4" s="121">
        <v>2003</v>
      </c>
      <c r="R4" s="58"/>
      <c r="S4" s="174" t="s">
        <v>389</v>
      </c>
    </row>
    <row r="6" ht="12.75">
      <c r="A6" s="59"/>
    </row>
    <row r="7" spans="1:19" ht="12.75">
      <c r="A7" s="43" t="s">
        <v>40</v>
      </c>
      <c r="C7" s="47">
        <v>7394151</v>
      </c>
      <c r="D7" s="47"/>
      <c r="E7" s="38">
        <v>5747958</v>
      </c>
      <c r="G7" s="155">
        <f>C7/E7-1</f>
        <v>0.28639614276931047</v>
      </c>
      <c r="I7" s="48">
        <v>654651</v>
      </c>
      <c r="K7" s="51">
        <v>1619781</v>
      </c>
      <c r="M7" s="170">
        <f>I7/K7-1</f>
        <v>-0.595839807974041</v>
      </c>
      <c r="O7" s="48">
        <f>C7+I7</f>
        <v>8048802</v>
      </c>
      <c r="Q7" s="51">
        <f>E7+K7</f>
        <v>7367739</v>
      </c>
      <c r="S7" s="170">
        <f>O7/Q7-1</f>
        <v>0.0924385350784005</v>
      </c>
    </row>
    <row r="8" spans="1:19" ht="12.75">
      <c r="A8" s="66" t="s">
        <v>77</v>
      </c>
      <c r="C8" s="47">
        <v>5856542</v>
      </c>
      <c r="D8" s="47"/>
      <c r="E8" s="38">
        <v>4535799</v>
      </c>
      <c r="G8" s="155">
        <f>C8/E8-1</f>
        <v>0.29118199461660454</v>
      </c>
      <c r="I8" s="48">
        <v>444910</v>
      </c>
      <c r="K8" s="51">
        <v>1075750</v>
      </c>
      <c r="M8" s="170">
        <f aca="true" t="shared" si="0" ref="M8:M46">I8/K8-1</f>
        <v>-0.5864187775970253</v>
      </c>
      <c r="O8" s="48">
        <f>C8+I8</f>
        <v>6301452</v>
      </c>
      <c r="Q8" s="51">
        <f>Q7-Q10</f>
        <v>5611549</v>
      </c>
      <c r="S8" s="170">
        <f>O8/Q8-1</f>
        <v>0.1229434154455391</v>
      </c>
    </row>
    <row r="9" spans="3:19" ht="4.5" customHeight="1">
      <c r="C9" s="49"/>
      <c r="E9" s="42"/>
      <c r="G9" s="156"/>
      <c r="I9" s="42"/>
      <c r="K9" s="57"/>
      <c r="M9" s="181"/>
      <c r="O9" s="49">
        <f>C9+I9</f>
        <v>0</v>
      </c>
      <c r="Q9" s="42">
        <f>E9+K9</f>
        <v>0</v>
      </c>
      <c r="S9" s="181"/>
    </row>
    <row r="10" spans="1:19" ht="12.75">
      <c r="A10" s="43" t="s">
        <v>150</v>
      </c>
      <c r="C10" s="47">
        <f>C7-C8</f>
        <v>1537609</v>
      </c>
      <c r="E10" s="38">
        <f>E7-E8</f>
        <v>1212159</v>
      </c>
      <c r="G10" s="155">
        <f aca="true" t="shared" si="1" ref="G10:G22">C10/E10-1</f>
        <v>0.2684878798903445</v>
      </c>
      <c r="I10" s="48">
        <f>I7-I8</f>
        <v>209741</v>
      </c>
      <c r="K10" s="51">
        <f>K7-K8</f>
        <v>544031</v>
      </c>
      <c r="M10" s="170">
        <f t="shared" si="0"/>
        <v>-0.6144686607932268</v>
      </c>
      <c r="O10" s="48">
        <f>C10+I10</f>
        <v>1747350</v>
      </c>
      <c r="Q10" s="51">
        <v>1756190</v>
      </c>
      <c r="S10" s="170">
        <f aca="true" t="shared" si="2" ref="S10:S16">O10/Q10-1</f>
        <v>-0.005033623924518449</v>
      </c>
    </row>
    <row r="11" spans="1:19" ht="12.75">
      <c r="A11" s="43" t="s">
        <v>151</v>
      </c>
      <c r="C11" s="47">
        <v>462383</v>
      </c>
      <c r="D11" s="47"/>
      <c r="E11" s="38">
        <v>401143</v>
      </c>
      <c r="G11" s="155">
        <f t="shared" si="1"/>
        <v>0.15266376329638054</v>
      </c>
      <c r="I11" s="48">
        <v>77935</v>
      </c>
      <c r="K11" s="51">
        <v>127118</v>
      </c>
      <c r="M11" s="170">
        <f t="shared" si="0"/>
        <v>-0.3869082270016835</v>
      </c>
      <c r="O11" s="48">
        <f>C11+I11</f>
        <v>540318</v>
      </c>
      <c r="Q11" s="51">
        <f>E11+K11</f>
        <v>528261</v>
      </c>
      <c r="S11" s="170">
        <f t="shared" si="2"/>
        <v>0.022823944981742006</v>
      </c>
    </row>
    <row r="12" spans="1:19" ht="12.75">
      <c r="A12" s="43" t="s">
        <v>149</v>
      </c>
      <c r="C12" s="47">
        <f>SUM(C13:C23)</f>
        <v>1883808</v>
      </c>
      <c r="E12" s="38">
        <f>SUM(E13:E23)</f>
        <v>1287443</v>
      </c>
      <c r="G12" s="155">
        <f>C12/E12-1</f>
        <v>0.4632166239592743</v>
      </c>
      <c r="I12" s="48">
        <f>SUM(I13:I23)</f>
        <v>248744</v>
      </c>
      <c r="K12" s="51">
        <f>SUM(K13:K23)</f>
        <v>614880</v>
      </c>
      <c r="M12" s="170">
        <f t="shared" si="0"/>
        <v>-0.5954592766068176</v>
      </c>
      <c r="O12" s="48">
        <f aca="true" t="shared" si="3" ref="O12:O35">C12+I12</f>
        <v>2132552</v>
      </c>
      <c r="Q12" s="51">
        <f>E12+K12</f>
        <v>1902323</v>
      </c>
      <c r="S12" s="170">
        <f t="shared" si="2"/>
        <v>0.12102518867721201</v>
      </c>
    </row>
    <row r="13" spans="1:19" ht="12.75">
      <c r="A13" s="60" t="s">
        <v>210</v>
      </c>
      <c r="C13" s="67">
        <v>100425</v>
      </c>
      <c r="E13" s="41">
        <v>79820</v>
      </c>
      <c r="G13" s="177">
        <f t="shared" si="1"/>
        <v>0.25814332247557004</v>
      </c>
      <c r="I13" s="67">
        <v>8596</v>
      </c>
      <c r="J13" s="38"/>
      <c r="K13" s="41">
        <v>23906</v>
      </c>
      <c r="M13" s="182">
        <f t="shared" si="0"/>
        <v>-0.6404249979084748</v>
      </c>
      <c r="O13" s="67">
        <f>C13+I13</f>
        <v>109021</v>
      </c>
      <c r="Q13" s="41">
        <f aca="true" t="shared" si="4" ref="Q13:Q35">E13+K13</f>
        <v>103726</v>
      </c>
      <c r="S13" s="182">
        <f t="shared" si="2"/>
        <v>0.051047953261477375</v>
      </c>
    </row>
    <row r="14" spans="1:19" ht="12.75">
      <c r="A14" s="60" t="s">
        <v>78</v>
      </c>
      <c r="C14" s="68">
        <v>236701</v>
      </c>
      <c r="E14" s="23">
        <v>202275</v>
      </c>
      <c r="G14" s="178">
        <f t="shared" si="1"/>
        <v>0.17019404276356442</v>
      </c>
      <c r="I14" s="68">
        <v>62854</v>
      </c>
      <c r="K14" s="23">
        <v>196600</v>
      </c>
      <c r="M14" s="183">
        <f t="shared" si="0"/>
        <v>-0.68029501525941</v>
      </c>
      <c r="O14" s="68">
        <f t="shared" si="3"/>
        <v>299555</v>
      </c>
      <c r="Q14" s="23">
        <f t="shared" si="4"/>
        <v>398875</v>
      </c>
      <c r="S14" s="183">
        <f t="shared" si="2"/>
        <v>-0.24900031338138517</v>
      </c>
    </row>
    <row r="15" spans="1:19" ht="12.75">
      <c r="A15" s="60" t="s">
        <v>79</v>
      </c>
      <c r="C15" s="68">
        <v>719870</v>
      </c>
      <c r="E15" s="23">
        <v>565310</v>
      </c>
      <c r="G15" s="178">
        <f t="shared" si="1"/>
        <v>0.27340751092321036</v>
      </c>
      <c r="I15" s="68">
        <v>110641</v>
      </c>
      <c r="K15" s="23">
        <v>304092</v>
      </c>
      <c r="M15" s="183">
        <f t="shared" si="0"/>
        <v>-0.6361594517448668</v>
      </c>
      <c r="O15" s="68">
        <f t="shared" si="3"/>
        <v>830511</v>
      </c>
      <c r="Q15" s="23">
        <f t="shared" si="4"/>
        <v>869402</v>
      </c>
      <c r="S15" s="183">
        <f t="shared" si="2"/>
        <v>-0.04473304639280795</v>
      </c>
    </row>
    <row r="16" spans="1:19" ht="12.75">
      <c r="A16" s="60" t="s">
        <v>80</v>
      </c>
      <c r="C16" s="68">
        <v>542229</v>
      </c>
      <c r="E16" s="23">
        <v>432279</v>
      </c>
      <c r="G16" s="178">
        <f t="shared" si="1"/>
        <v>0.2543496214250518</v>
      </c>
      <c r="I16" s="68">
        <v>63316</v>
      </c>
      <c r="K16" s="23">
        <v>98166</v>
      </c>
      <c r="M16" s="183">
        <f t="shared" si="0"/>
        <v>-0.35501089990424384</v>
      </c>
      <c r="O16" s="68">
        <f t="shared" si="3"/>
        <v>605545</v>
      </c>
      <c r="Q16" s="23">
        <f>E16+K16</f>
        <v>530445</v>
      </c>
      <c r="S16" s="183">
        <f t="shared" si="2"/>
        <v>0.14157924007201506</v>
      </c>
    </row>
    <row r="17" spans="1:19" s="50" customFormat="1" ht="12.75">
      <c r="A17" s="122" t="s">
        <v>347</v>
      </c>
      <c r="C17" s="68">
        <v>13496</v>
      </c>
      <c r="E17" s="68">
        <v>0</v>
      </c>
      <c r="G17" s="178"/>
      <c r="I17" s="68">
        <v>0</v>
      </c>
      <c r="K17" s="68">
        <v>0</v>
      </c>
      <c r="M17" s="183"/>
      <c r="O17" s="68">
        <f t="shared" si="3"/>
        <v>13496</v>
      </c>
      <c r="Q17" s="23">
        <f t="shared" si="4"/>
        <v>0</v>
      </c>
      <c r="S17" s="183"/>
    </row>
    <row r="18" spans="1:19" s="50" customFormat="1" ht="12.75">
      <c r="A18" s="122" t="s">
        <v>223</v>
      </c>
      <c r="C18" s="68">
        <v>0</v>
      </c>
      <c r="E18" s="68">
        <v>0</v>
      </c>
      <c r="G18" s="178"/>
      <c r="I18" s="68">
        <v>0</v>
      </c>
      <c r="K18" s="23">
        <v>-26454</v>
      </c>
      <c r="M18" s="183"/>
      <c r="O18" s="68">
        <f t="shared" si="3"/>
        <v>0</v>
      </c>
      <c r="Q18" s="23">
        <f t="shared" si="4"/>
        <v>-26454</v>
      </c>
      <c r="S18" s="183"/>
    </row>
    <row r="19" spans="1:19" s="50" customFormat="1" ht="12.75">
      <c r="A19" s="122" t="s">
        <v>226</v>
      </c>
      <c r="C19" s="68">
        <v>0</v>
      </c>
      <c r="E19" s="68">
        <v>0</v>
      </c>
      <c r="G19" s="178"/>
      <c r="I19" s="68">
        <v>-1738</v>
      </c>
      <c r="K19" s="23">
        <v>0</v>
      </c>
      <c r="M19" s="183"/>
      <c r="O19" s="68">
        <f t="shared" si="3"/>
        <v>-1738</v>
      </c>
      <c r="Q19" s="23">
        <f t="shared" si="4"/>
        <v>0</v>
      </c>
      <c r="S19" s="183"/>
    </row>
    <row r="20" spans="1:19" s="50" customFormat="1" ht="12.75">
      <c r="A20" s="122" t="s">
        <v>251</v>
      </c>
      <c r="C20" s="68">
        <v>0</v>
      </c>
      <c r="E20" s="68">
        <v>0</v>
      </c>
      <c r="G20" s="178"/>
      <c r="I20" s="68">
        <v>-587</v>
      </c>
      <c r="K20" s="23">
        <v>0</v>
      </c>
      <c r="M20" s="183"/>
      <c r="O20" s="68">
        <f t="shared" si="3"/>
        <v>-587</v>
      </c>
      <c r="Q20" s="23">
        <f t="shared" si="4"/>
        <v>0</v>
      </c>
      <c r="S20" s="183"/>
    </row>
    <row r="21" spans="1:19" s="50" customFormat="1" ht="12.75">
      <c r="A21" s="122" t="s">
        <v>224</v>
      </c>
      <c r="C21" s="68">
        <v>1920</v>
      </c>
      <c r="E21" s="23">
        <v>141</v>
      </c>
      <c r="G21" s="178"/>
      <c r="I21" s="68">
        <v>361</v>
      </c>
      <c r="K21" s="23">
        <v>2469</v>
      </c>
      <c r="M21" s="183">
        <f t="shared" si="0"/>
        <v>-0.8537869582827056</v>
      </c>
      <c r="O21" s="68">
        <f t="shared" si="3"/>
        <v>2281</v>
      </c>
      <c r="Q21" s="23">
        <f t="shared" si="4"/>
        <v>2610</v>
      </c>
      <c r="S21" s="183">
        <f>O21/Q21-1</f>
        <v>-0.12605363984674334</v>
      </c>
    </row>
    <row r="22" spans="1:19" s="50" customFormat="1" ht="12.75">
      <c r="A22" s="122" t="s">
        <v>225</v>
      </c>
      <c r="C22" s="68">
        <v>10971</v>
      </c>
      <c r="E22" s="23">
        <v>7618</v>
      </c>
      <c r="G22" s="178">
        <f t="shared" si="1"/>
        <v>0.4401417694933054</v>
      </c>
      <c r="I22" s="68">
        <v>5301</v>
      </c>
      <c r="K22" s="23">
        <v>16101</v>
      </c>
      <c r="M22" s="183">
        <f t="shared" si="0"/>
        <v>-0.6707657909446618</v>
      </c>
      <c r="O22" s="68">
        <f t="shared" si="3"/>
        <v>16272</v>
      </c>
      <c r="Q22" s="23">
        <f t="shared" si="4"/>
        <v>23719</v>
      </c>
      <c r="S22" s="183">
        <f>O22/Q22-1</f>
        <v>-0.3139677052152283</v>
      </c>
    </row>
    <row r="23" spans="1:19" s="50" customFormat="1" ht="12.75">
      <c r="A23" s="122" t="s">
        <v>305</v>
      </c>
      <c r="C23" s="69">
        <v>258196</v>
      </c>
      <c r="E23" s="24">
        <v>0</v>
      </c>
      <c r="G23" s="179"/>
      <c r="I23" s="69">
        <v>0</v>
      </c>
      <c r="K23" s="24">
        <v>0</v>
      </c>
      <c r="M23" s="184"/>
      <c r="O23" s="69">
        <f t="shared" si="3"/>
        <v>258196</v>
      </c>
      <c r="Q23" s="24">
        <f t="shared" si="4"/>
        <v>0</v>
      </c>
      <c r="S23" s="184"/>
    </row>
    <row r="24" spans="3:19" ht="4.5" customHeight="1">
      <c r="C24" s="49"/>
      <c r="E24" s="42"/>
      <c r="G24" s="156"/>
      <c r="I24" s="49"/>
      <c r="K24" s="57"/>
      <c r="M24" s="181"/>
      <c r="O24" s="49">
        <f t="shared" si="3"/>
        <v>0</v>
      </c>
      <c r="Q24" s="42">
        <f t="shared" si="4"/>
        <v>0</v>
      </c>
      <c r="S24" s="181"/>
    </row>
    <row r="25" spans="1:19" ht="12.75">
      <c r="A25" s="43" t="s">
        <v>338</v>
      </c>
      <c r="C25" s="47">
        <f>C10+C11-C12</f>
        <v>116184</v>
      </c>
      <c r="E25" s="38">
        <f>E10+E11-E12</f>
        <v>325859</v>
      </c>
      <c r="G25" s="155">
        <f>C25/E25-1</f>
        <v>-0.6434531499820475</v>
      </c>
      <c r="I25" s="47">
        <f>I10+I11-I12</f>
        <v>38932</v>
      </c>
      <c r="K25" s="38">
        <f>K10+K11-K12</f>
        <v>56269</v>
      </c>
      <c r="M25" s="170">
        <f t="shared" si="0"/>
        <v>-0.3081092608718833</v>
      </c>
      <c r="O25" s="47">
        <f>O10+O11-O12</f>
        <v>155116</v>
      </c>
      <c r="Q25" s="38">
        <f>Q10+Q11-Q12</f>
        <v>382128</v>
      </c>
      <c r="S25" s="170">
        <f>O25/Q25-1</f>
        <v>-0.5940731901352426</v>
      </c>
    </row>
    <row r="26" spans="1:19" ht="12.75">
      <c r="A26" s="43" t="s">
        <v>48</v>
      </c>
      <c r="C26" s="47">
        <f>SUM(C27:C29)</f>
        <v>-54470</v>
      </c>
      <c r="E26" s="38">
        <f>SUM(E27:E29)</f>
        <v>-57450</v>
      </c>
      <c r="G26" s="155">
        <f>C26/E26-1</f>
        <v>-0.05187119234116622</v>
      </c>
      <c r="I26" s="47">
        <f>SUM(I27:I29)</f>
        <v>-5308</v>
      </c>
      <c r="K26" s="38">
        <f>SUM(K27:K29)</f>
        <v>-26667</v>
      </c>
      <c r="M26" s="170">
        <f t="shared" si="0"/>
        <v>-0.8009524880938989</v>
      </c>
      <c r="O26" s="48">
        <f t="shared" si="3"/>
        <v>-59778</v>
      </c>
      <c r="Q26" s="51">
        <f t="shared" si="4"/>
        <v>-84117</v>
      </c>
      <c r="S26" s="170">
        <f>O26/Q26-1</f>
        <v>-0.28934698099076284</v>
      </c>
    </row>
    <row r="27" spans="1:19" ht="12.75">
      <c r="A27" s="60" t="s">
        <v>221</v>
      </c>
      <c r="C27" s="67">
        <v>-54470</v>
      </c>
      <c r="E27" s="41">
        <v>-57450</v>
      </c>
      <c r="G27" s="177">
        <f>C27/E27-1</f>
        <v>-0.05187119234116622</v>
      </c>
      <c r="I27" s="67">
        <v>-5308</v>
      </c>
      <c r="K27" s="41">
        <v>-26667</v>
      </c>
      <c r="M27" s="182">
        <f t="shared" si="0"/>
        <v>-0.8009524880938989</v>
      </c>
      <c r="O27" s="67">
        <f t="shared" si="3"/>
        <v>-59778</v>
      </c>
      <c r="Q27" s="41">
        <f t="shared" si="4"/>
        <v>-84117</v>
      </c>
      <c r="S27" s="182">
        <f>O27/Q27-1</f>
        <v>-0.28934698099076284</v>
      </c>
    </row>
    <row r="28" spans="1:19" ht="12.75">
      <c r="A28" s="60" t="s">
        <v>222</v>
      </c>
      <c r="C28" s="68">
        <v>24986</v>
      </c>
      <c r="E28" s="23">
        <v>59265</v>
      </c>
      <c r="G28" s="178">
        <f>C28/E28-1</f>
        <v>-0.5784020922973088</v>
      </c>
      <c r="I28" s="68">
        <v>0</v>
      </c>
      <c r="K28" s="68">
        <v>0</v>
      </c>
      <c r="M28" s="183"/>
      <c r="O28" s="68">
        <f t="shared" si="3"/>
        <v>24986</v>
      </c>
      <c r="Q28" s="23">
        <f t="shared" si="4"/>
        <v>59265</v>
      </c>
      <c r="S28" s="183">
        <f>O28/Q28-1</f>
        <v>-0.5784020922973088</v>
      </c>
    </row>
    <row r="29" spans="1:19" ht="12.75">
      <c r="A29" s="60" t="s">
        <v>81</v>
      </c>
      <c r="C29" s="69">
        <v>-24986</v>
      </c>
      <c r="E29" s="24">
        <v>-59265</v>
      </c>
      <c r="G29" s="179">
        <f>C29/E29-1</f>
        <v>-0.5784020922973088</v>
      </c>
      <c r="I29" s="69">
        <v>0</v>
      </c>
      <c r="K29" s="69">
        <v>0</v>
      </c>
      <c r="M29" s="184"/>
      <c r="O29" s="69">
        <f t="shared" si="3"/>
        <v>-24986</v>
      </c>
      <c r="Q29" s="24">
        <f t="shared" si="4"/>
        <v>-59265</v>
      </c>
      <c r="S29" s="184">
        <f>O29/Q29-1</f>
        <v>-0.5784020922973088</v>
      </c>
    </row>
    <row r="30" spans="3:19" ht="4.5" customHeight="1">
      <c r="C30" s="49"/>
      <c r="E30" s="42"/>
      <c r="G30" s="156"/>
      <c r="I30" s="70"/>
      <c r="K30" s="71"/>
      <c r="M30" s="181"/>
      <c r="O30" s="70">
        <f t="shared" si="3"/>
        <v>0</v>
      </c>
      <c r="Q30" s="71">
        <f t="shared" si="4"/>
        <v>0</v>
      </c>
      <c r="S30" s="181"/>
    </row>
    <row r="31" spans="1:19" ht="12.75">
      <c r="A31" s="43" t="s">
        <v>306</v>
      </c>
      <c r="C31" s="47">
        <f>C25+C26</f>
        <v>61714</v>
      </c>
      <c r="E31" s="38">
        <f>E25+E26</f>
        <v>268409</v>
      </c>
      <c r="G31" s="155">
        <f>C31/E31-1</f>
        <v>-0.7700747739457321</v>
      </c>
      <c r="I31" s="47">
        <f>I25+I26</f>
        <v>33624</v>
      </c>
      <c r="K31" s="38">
        <f>K25+K26</f>
        <v>29602</v>
      </c>
      <c r="M31" s="170">
        <f t="shared" si="0"/>
        <v>0.13586919802716024</v>
      </c>
      <c r="O31" s="48">
        <f t="shared" si="3"/>
        <v>95338</v>
      </c>
      <c r="Q31" s="51">
        <f t="shared" si="4"/>
        <v>298011</v>
      </c>
      <c r="S31" s="170">
        <f>O31/Q31-1</f>
        <v>-0.6800856344228905</v>
      </c>
    </row>
    <row r="32" spans="1:19" ht="12.75">
      <c r="A32" s="43" t="s">
        <v>85</v>
      </c>
      <c r="C32" s="47">
        <v>93604</v>
      </c>
      <c r="E32" s="38">
        <v>68411</v>
      </c>
      <c r="G32" s="155">
        <f>C32/E32-1</f>
        <v>0.36825949043282513</v>
      </c>
      <c r="I32" s="48">
        <v>14287</v>
      </c>
      <c r="K32" s="51">
        <v>15332</v>
      </c>
      <c r="M32" s="170">
        <f t="shared" si="0"/>
        <v>-0.06815810070440909</v>
      </c>
      <c r="O32" s="48">
        <f t="shared" si="3"/>
        <v>107891</v>
      </c>
      <c r="Q32" s="51">
        <f t="shared" si="4"/>
        <v>83743</v>
      </c>
      <c r="S32" s="170">
        <f>O32/Q32-1</f>
        <v>0.28835842995832484</v>
      </c>
    </row>
    <row r="33" spans="3:19" ht="4.5" customHeight="1">
      <c r="C33" s="49"/>
      <c r="E33" s="42"/>
      <c r="G33" s="198"/>
      <c r="I33" s="49"/>
      <c r="K33" s="42"/>
      <c r="M33" s="181"/>
      <c r="O33" s="49">
        <f t="shared" si="3"/>
        <v>0</v>
      </c>
      <c r="Q33" s="42">
        <f t="shared" si="4"/>
        <v>0</v>
      </c>
      <c r="S33" s="196"/>
    </row>
    <row r="34" spans="1:19" ht="12.75">
      <c r="A34" s="43" t="s">
        <v>384</v>
      </c>
      <c r="C34" s="47">
        <f>C31-C32</f>
        <v>-31890</v>
      </c>
      <c r="E34" s="38">
        <f>E31-E32</f>
        <v>199998</v>
      </c>
      <c r="G34" s="199"/>
      <c r="I34" s="47">
        <f>I31-I32</f>
        <v>19337</v>
      </c>
      <c r="K34" s="38">
        <f>K31-K32</f>
        <v>14270</v>
      </c>
      <c r="M34" s="170">
        <f t="shared" si="0"/>
        <v>0.35508058864751235</v>
      </c>
      <c r="O34" s="47">
        <f>O31-O32</f>
        <v>-12553</v>
      </c>
      <c r="Q34" s="38">
        <f>Q31-Q32</f>
        <v>214268</v>
      </c>
      <c r="S34" s="197"/>
    </row>
    <row r="35" spans="3:19" ht="4.5" customHeight="1" thickBot="1">
      <c r="C35" s="72"/>
      <c r="E35" s="73"/>
      <c r="G35" s="198"/>
      <c r="I35" s="73"/>
      <c r="K35" s="73"/>
      <c r="M35" s="186"/>
      <c r="O35" s="72">
        <f t="shared" si="3"/>
        <v>0</v>
      </c>
      <c r="Q35" s="73">
        <f t="shared" si="4"/>
        <v>0</v>
      </c>
      <c r="S35" s="196"/>
    </row>
    <row r="36" spans="7:19" ht="8.25" customHeight="1">
      <c r="G36" s="198"/>
      <c r="M36" s="170"/>
      <c r="S36" s="196"/>
    </row>
    <row r="37" spans="1:19" ht="12.75" customHeight="1">
      <c r="A37" s="43" t="s">
        <v>297</v>
      </c>
      <c r="G37" s="155"/>
      <c r="M37" s="170"/>
      <c r="S37" s="170"/>
    </row>
    <row r="38" spans="1:19" ht="12.75" customHeight="1">
      <c r="A38" s="122" t="s">
        <v>347</v>
      </c>
      <c r="C38" s="47">
        <v>9447.2</v>
      </c>
      <c r="D38" s="47"/>
      <c r="E38" s="38">
        <v>0</v>
      </c>
      <c r="F38" s="47"/>
      <c r="G38" s="155"/>
      <c r="H38" s="47"/>
      <c r="I38" s="47">
        <v>0</v>
      </c>
      <c r="J38" s="47"/>
      <c r="K38" s="38">
        <v>0</v>
      </c>
      <c r="L38" s="47"/>
      <c r="M38" s="170"/>
      <c r="N38" s="47"/>
      <c r="O38" s="48">
        <f aca="true" t="shared" si="5" ref="O38:O44">C38+I38</f>
        <v>9447.2</v>
      </c>
      <c r="Q38" s="51">
        <f aca="true" t="shared" si="6" ref="Q38:Q44">E38+K38</f>
        <v>0</v>
      </c>
      <c r="R38" s="47"/>
      <c r="S38" s="170"/>
    </row>
    <row r="39" spans="1:19" ht="12.75" customHeight="1">
      <c r="A39" s="60" t="s">
        <v>223</v>
      </c>
      <c r="C39" s="47">
        <v>0</v>
      </c>
      <c r="D39" s="47"/>
      <c r="E39" s="38">
        <v>0</v>
      </c>
      <c r="F39" s="47"/>
      <c r="G39" s="155"/>
      <c r="H39" s="47"/>
      <c r="I39" s="47">
        <v>0</v>
      </c>
      <c r="J39" s="47"/>
      <c r="K39" s="38">
        <v>-18517.8</v>
      </c>
      <c r="L39" s="47"/>
      <c r="M39" s="170"/>
      <c r="N39" s="47"/>
      <c r="O39" s="48">
        <f t="shared" si="5"/>
        <v>0</v>
      </c>
      <c r="Q39" s="51">
        <f t="shared" si="6"/>
        <v>-18517.8</v>
      </c>
      <c r="R39" s="47"/>
      <c r="S39" s="170"/>
    </row>
    <row r="40" spans="1:19" ht="12.75" customHeight="1">
      <c r="A40" s="60" t="s">
        <v>226</v>
      </c>
      <c r="C40" s="47">
        <v>0</v>
      </c>
      <c r="D40" s="47"/>
      <c r="E40" s="38">
        <v>0</v>
      </c>
      <c r="F40" s="47"/>
      <c r="G40" s="155"/>
      <c r="H40" s="47"/>
      <c r="I40" s="47">
        <v>-1738</v>
      </c>
      <c r="J40" s="47"/>
      <c r="K40" s="38">
        <v>0</v>
      </c>
      <c r="L40" s="47"/>
      <c r="M40" s="170"/>
      <c r="N40" s="47"/>
      <c r="O40" s="48">
        <f t="shared" si="5"/>
        <v>-1738</v>
      </c>
      <c r="Q40" s="51">
        <f t="shared" si="6"/>
        <v>0</v>
      </c>
      <c r="R40" s="47"/>
      <c r="S40" s="170"/>
    </row>
    <row r="41" spans="1:19" ht="12.75" customHeight="1">
      <c r="A41" s="60" t="s">
        <v>251</v>
      </c>
      <c r="C41" s="47">
        <v>0</v>
      </c>
      <c r="D41" s="47"/>
      <c r="E41" s="38">
        <v>0</v>
      </c>
      <c r="F41" s="47"/>
      <c r="G41" s="155"/>
      <c r="H41" s="47"/>
      <c r="I41" s="47">
        <v>-587</v>
      </c>
      <c r="J41" s="47"/>
      <c r="K41" s="38">
        <v>0</v>
      </c>
      <c r="L41" s="47"/>
      <c r="M41" s="170"/>
      <c r="N41" s="47"/>
      <c r="O41" s="48">
        <f t="shared" si="5"/>
        <v>-587</v>
      </c>
      <c r="Q41" s="51">
        <f t="shared" si="6"/>
        <v>0</v>
      </c>
      <c r="R41" s="47"/>
      <c r="S41" s="170"/>
    </row>
    <row r="42" spans="1:19" ht="12.75" customHeight="1">
      <c r="A42" s="60" t="s">
        <v>224</v>
      </c>
      <c r="C42" s="47">
        <v>1344</v>
      </c>
      <c r="D42" s="47"/>
      <c r="E42" s="38">
        <v>99</v>
      </c>
      <c r="F42" s="47"/>
      <c r="G42" s="155"/>
      <c r="H42" s="47"/>
      <c r="I42" s="47">
        <v>252.7</v>
      </c>
      <c r="J42" s="47"/>
      <c r="K42" s="38">
        <v>1728</v>
      </c>
      <c r="L42" s="47"/>
      <c r="M42" s="170">
        <f t="shared" si="0"/>
        <v>-0.853761574074074</v>
      </c>
      <c r="N42" s="47"/>
      <c r="O42" s="48">
        <f t="shared" si="5"/>
        <v>1596.7</v>
      </c>
      <c r="Q42" s="51">
        <f t="shared" si="6"/>
        <v>1827</v>
      </c>
      <c r="R42" s="47"/>
      <c r="S42" s="170">
        <f>O42/Q42-1</f>
        <v>-0.12605363984674323</v>
      </c>
    </row>
    <row r="43" spans="1:19" ht="12.75" customHeight="1">
      <c r="A43" s="60" t="s">
        <v>225</v>
      </c>
      <c r="C43" s="47">
        <v>10971</v>
      </c>
      <c r="D43" s="47"/>
      <c r="E43" s="38">
        <v>7618</v>
      </c>
      <c r="F43" s="47"/>
      <c r="G43" s="155"/>
      <c r="H43" s="47"/>
      <c r="I43" s="47">
        <v>5301</v>
      </c>
      <c r="J43" s="47"/>
      <c r="K43" s="38">
        <v>16101</v>
      </c>
      <c r="L43" s="47"/>
      <c r="M43" s="170">
        <f t="shared" si="0"/>
        <v>-0.6707657909446618</v>
      </c>
      <c r="N43" s="47"/>
      <c r="O43" s="48">
        <f t="shared" si="5"/>
        <v>16272</v>
      </c>
      <c r="Q43" s="51">
        <f t="shared" si="6"/>
        <v>23719</v>
      </c>
      <c r="R43" s="47"/>
      <c r="S43" s="170">
        <f>O43/Q43-1</f>
        <v>-0.3139677052152283</v>
      </c>
    </row>
    <row r="44" spans="1:19" ht="12.75" customHeight="1">
      <c r="A44" s="60" t="s">
        <v>305</v>
      </c>
      <c r="C44" s="47">
        <v>258196</v>
      </c>
      <c r="D44" s="47"/>
      <c r="E44" s="38">
        <v>0</v>
      </c>
      <c r="F44" s="47"/>
      <c r="G44" s="155"/>
      <c r="H44" s="47"/>
      <c r="I44" s="47">
        <v>0</v>
      </c>
      <c r="J44" s="47"/>
      <c r="K44" s="38">
        <v>0</v>
      </c>
      <c r="L44" s="47"/>
      <c r="M44" s="170"/>
      <c r="N44" s="47"/>
      <c r="O44" s="48">
        <f t="shared" si="5"/>
        <v>258196</v>
      </c>
      <c r="Q44" s="51">
        <f t="shared" si="6"/>
        <v>0</v>
      </c>
      <c r="R44" s="47"/>
      <c r="S44" s="170"/>
    </row>
    <row r="45" spans="3:19" ht="4.5" customHeight="1">
      <c r="C45" s="49"/>
      <c r="E45" s="42"/>
      <c r="G45" s="155"/>
      <c r="I45" s="49"/>
      <c r="K45" s="57"/>
      <c r="M45" s="170"/>
      <c r="O45" s="123"/>
      <c r="Q45" s="124"/>
      <c r="S45" s="170"/>
    </row>
    <row r="46" spans="1:19" ht="12.75" customHeight="1">
      <c r="A46" s="43" t="s">
        <v>43</v>
      </c>
      <c r="C46" s="47">
        <f>SUM(C34:C44)</f>
        <v>248068.2</v>
      </c>
      <c r="D46" s="47"/>
      <c r="E46" s="38">
        <f>SUM(E34:E43)</f>
        <v>207715</v>
      </c>
      <c r="F46" s="47"/>
      <c r="G46" s="155">
        <f>C46/E46-1</f>
        <v>0.19427195917483098</v>
      </c>
      <c r="H46" s="47"/>
      <c r="I46" s="47">
        <f>SUM(I34:I43)</f>
        <v>22565.7</v>
      </c>
      <c r="J46" s="47"/>
      <c r="K46" s="38">
        <f>SUM(K34:K43)</f>
        <v>13581.2</v>
      </c>
      <c r="L46" s="47"/>
      <c r="M46" s="170">
        <f t="shared" si="0"/>
        <v>0.6615394810473301</v>
      </c>
      <c r="N46" s="47"/>
      <c r="O46" s="47">
        <f>SUM(O34:O44)</f>
        <v>270633.9</v>
      </c>
      <c r="P46" s="47"/>
      <c r="Q46" s="38">
        <f>SUM(Q34:Q43)</f>
        <v>221296.2</v>
      </c>
      <c r="S46" s="170">
        <f>O46/Q46-1</f>
        <v>0.22294869952579388</v>
      </c>
    </row>
    <row r="47" spans="3:19" ht="4.5" customHeight="1" thickBot="1">
      <c r="C47" s="72"/>
      <c r="E47" s="73"/>
      <c r="G47" s="155"/>
      <c r="I47" s="72"/>
      <c r="K47" s="125"/>
      <c r="M47" s="170"/>
      <c r="O47" s="126"/>
      <c r="Q47" s="127"/>
      <c r="S47" s="170"/>
    </row>
    <row r="48" spans="7:19" ht="12.75" customHeight="1">
      <c r="G48" s="155"/>
      <c r="M48" s="170"/>
      <c r="S48" s="170"/>
    </row>
    <row r="49" spans="1:19" ht="12.75" customHeight="1">
      <c r="A49" s="43" t="s">
        <v>308</v>
      </c>
      <c r="G49" s="155"/>
      <c r="M49" s="170"/>
      <c r="S49" s="170"/>
    </row>
    <row r="50" spans="1:19" ht="12.75" customHeight="1">
      <c r="A50" s="60" t="s">
        <v>309</v>
      </c>
      <c r="C50" s="128">
        <f>C46/C59*100</f>
        <v>70.16078807368251</v>
      </c>
      <c r="E50" s="129">
        <f>E46/E59*100</f>
        <v>61.52932429270085</v>
      </c>
      <c r="G50" s="155">
        <f>C50/E50-1</f>
        <v>0.14028211556364512</v>
      </c>
      <c r="I50" s="128">
        <f>I46/I59*100</f>
        <v>6.382225917849597</v>
      </c>
      <c r="K50" s="129">
        <f>K46/K59*100</f>
        <v>4.023022213533104</v>
      </c>
      <c r="M50" s="170"/>
      <c r="O50" s="128">
        <f>O46/O59*100</f>
        <v>76.54301399153212</v>
      </c>
      <c r="Q50" s="129">
        <f>Q46/Q59*100</f>
        <v>65.55234650623395</v>
      </c>
      <c r="S50" s="170">
        <v>0.166</v>
      </c>
    </row>
    <row r="51" spans="1:19" ht="12.75" customHeight="1">
      <c r="A51" s="60" t="s">
        <v>310</v>
      </c>
      <c r="C51" s="128">
        <f>C46/C60*100</f>
        <v>68.32968824887205</v>
      </c>
      <c r="E51" s="129">
        <f>E46/E60*100</f>
        <v>60.574909742028424</v>
      </c>
      <c r="G51" s="155">
        <v>0.127</v>
      </c>
      <c r="I51" s="128">
        <f>I46/I60*100</f>
        <v>6.215658621772448</v>
      </c>
      <c r="K51" s="129">
        <f>K46/K60*100</f>
        <v>3.9606189451336515</v>
      </c>
      <c r="M51" s="170"/>
      <c r="O51" s="128">
        <f>O46/O60*100</f>
        <v>74.54534687064451</v>
      </c>
      <c r="Q51" s="129">
        <f>Q46/Q60*100</f>
        <v>64.53552868716208</v>
      </c>
      <c r="S51" s="170">
        <f>O51/Q51-1</f>
        <v>0.15510554243702446</v>
      </c>
    </row>
    <row r="52" spans="1:19" ht="3.75" customHeight="1">
      <c r="A52" s="60"/>
      <c r="C52" s="112"/>
      <c r="E52" s="113"/>
      <c r="G52" s="155"/>
      <c r="I52" s="112"/>
      <c r="K52" s="113"/>
      <c r="M52" s="170"/>
      <c r="S52" s="170"/>
    </row>
    <row r="53" spans="3:19" ht="12.75" customHeight="1">
      <c r="C53" s="112"/>
      <c r="E53" s="113"/>
      <c r="G53" s="155"/>
      <c r="I53" s="112"/>
      <c r="K53" s="113"/>
      <c r="M53" s="170"/>
      <c r="S53" s="170"/>
    </row>
    <row r="54" spans="1:19" ht="12.75" customHeight="1">
      <c r="A54" s="43" t="s">
        <v>311</v>
      </c>
      <c r="C54" s="112"/>
      <c r="E54" s="113"/>
      <c r="G54" s="155"/>
      <c r="I54" s="112"/>
      <c r="K54" s="113"/>
      <c r="M54" s="170"/>
      <c r="S54" s="170"/>
    </row>
    <row r="55" spans="1:19" ht="12.75" customHeight="1">
      <c r="A55" s="60" t="s">
        <v>309</v>
      </c>
      <c r="C55" s="128">
        <f>C34/C59*100</f>
        <v>-9.019404872005905</v>
      </c>
      <c r="E55" s="129">
        <f>E34/E59*100</f>
        <v>59.24339503594629</v>
      </c>
      <c r="G55" s="180"/>
      <c r="I55" s="128">
        <f>I34/I59*100</f>
        <v>5.469057134210668</v>
      </c>
      <c r="K55" s="129">
        <f>K34/K59*100</f>
        <v>4.227058506399832</v>
      </c>
      <c r="M55" s="170"/>
      <c r="O55" s="128">
        <f>O34/O59*100</f>
        <v>-3.5503477377952377</v>
      </c>
      <c r="Q55" s="129">
        <f>Q34/Q59*100</f>
        <v>63.470453542346114</v>
      </c>
      <c r="S55" s="185"/>
    </row>
    <row r="56" spans="1:19" ht="12.75" customHeight="1">
      <c r="A56" s="60" t="s">
        <v>310</v>
      </c>
      <c r="C56" s="128">
        <f>C34/C60*100</f>
        <v>-8.78401084160134</v>
      </c>
      <c r="E56" s="129">
        <f>E34/E60*100</f>
        <v>58.32443876747564</v>
      </c>
      <c r="G56" s="180"/>
      <c r="I56" s="128">
        <f>I34/I60*100</f>
        <v>5.326322284228445</v>
      </c>
      <c r="K56" s="129">
        <f>K34/K60*100</f>
        <v>4.161490320962597</v>
      </c>
      <c r="M56" s="170"/>
      <c r="O56" s="128">
        <f>O34/O60*100</f>
        <v>-3.4576885573728946</v>
      </c>
      <c r="Q56" s="129">
        <f>Q34/Q60*100</f>
        <v>62.48592908843823</v>
      </c>
      <c r="S56" s="185"/>
    </row>
    <row r="57" spans="1:19" ht="12.75" customHeight="1">
      <c r="A57" s="60"/>
      <c r="G57" s="155"/>
      <c r="M57" s="170"/>
      <c r="S57" s="170"/>
    </row>
    <row r="58" spans="1:19" ht="12.75" customHeight="1">
      <c r="A58" s="66" t="s">
        <v>312</v>
      </c>
      <c r="C58" s="47">
        <v>361205</v>
      </c>
      <c r="E58" s="38">
        <v>354118</v>
      </c>
      <c r="G58" s="155">
        <f>C58/E58-1</f>
        <v>0.020013102976973673</v>
      </c>
      <c r="I58" s="48">
        <f>C58</f>
        <v>361205</v>
      </c>
      <c r="K58" s="51">
        <f>E58</f>
        <v>354118</v>
      </c>
      <c r="M58" s="170"/>
      <c r="O58" s="48">
        <f>I58</f>
        <v>361205</v>
      </c>
      <c r="Q58" s="51">
        <f>K58</f>
        <v>354118</v>
      </c>
      <c r="S58" s="170">
        <f>O58/Q58-1</f>
        <v>0.020013102976973673</v>
      </c>
    </row>
    <row r="59" spans="1:19" ht="12.75" customHeight="1">
      <c r="A59" s="66" t="s">
        <v>200</v>
      </c>
      <c r="C59" s="47">
        <v>353571</v>
      </c>
      <c r="E59" s="38">
        <v>337587</v>
      </c>
      <c r="G59" s="155">
        <f>C59/E59-1</f>
        <v>0.04734779479067619</v>
      </c>
      <c r="I59" s="48">
        <f aca="true" t="shared" si="7" ref="I59:K60">C59</f>
        <v>353571</v>
      </c>
      <c r="K59" s="51">
        <f t="shared" si="7"/>
        <v>337587</v>
      </c>
      <c r="M59" s="170"/>
      <c r="O59" s="48">
        <f aca="true" t="shared" si="8" ref="O59:Q60">I59</f>
        <v>353571</v>
      </c>
      <c r="Q59" s="51">
        <f t="shared" si="8"/>
        <v>337587</v>
      </c>
      <c r="S59" s="170">
        <f>O59/Q59-1</f>
        <v>0.04734779479067619</v>
      </c>
    </row>
    <row r="60" spans="1:19" ht="12.75" customHeight="1">
      <c r="A60" s="66" t="s">
        <v>201</v>
      </c>
      <c r="C60" s="47">
        <v>363046</v>
      </c>
      <c r="E60" s="38">
        <v>342906</v>
      </c>
      <c r="G60" s="155">
        <f>C60/E60-1</f>
        <v>0.05873329717181974</v>
      </c>
      <c r="I60" s="48">
        <f t="shared" si="7"/>
        <v>363046</v>
      </c>
      <c r="K60" s="51">
        <f t="shared" si="7"/>
        <v>342906</v>
      </c>
      <c r="M60" s="170"/>
      <c r="O60" s="48">
        <f t="shared" si="8"/>
        <v>363046</v>
      </c>
      <c r="Q60" s="51">
        <f t="shared" si="8"/>
        <v>342906</v>
      </c>
      <c r="S60" s="170">
        <f>O60/Q60-1</f>
        <v>0.05873329717181974</v>
      </c>
    </row>
  </sheetData>
  <printOptions/>
  <pageMargins left="0.5" right="0.75" top="1" bottom="1" header="0.5" footer="0.5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63.28125" style="43" customWidth="1"/>
    <col min="2" max="2" width="1.7109375" style="43" customWidth="1"/>
    <col min="3" max="3" width="22.00390625" style="47" customWidth="1"/>
    <col min="4" max="4" width="1.7109375" style="43" customWidth="1"/>
    <col min="5" max="5" width="18.8515625" style="38" customWidth="1"/>
    <col min="6" max="6" width="1.7109375" style="50" customWidth="1"/>
    <col min="7" max="16384" width="9.140625" style="43" customWidth="1"/>
  </cols>
  <sheetData>
    <row r="1" ht="18">
      <c r="A1" s="53" t="s">
        <v>162</v>
      </c>
    </row>
    <row r="3" spans="3:6" ht="12.75">
      <c r="C3" s="54" t="s">
        <v>38</v>
      </c>
      <c r="D3" s="55"/>
      <c r="E3" s="56" t="s">
        <v>38</v>
      </c>
      <c r="F3" s="76"/>
    </row>
    <row r="4" spans="1:6" ht="12.75">
      <c r="A4" s="57" t="s">
        <v>41</v>
      </c>
      <c r="B4" s="57"/>
      <c r="C4" s="80" t="s">
        <v>299</v>
      </c>
      <c r="D4" s="58"/>
      <c r="E4" s="81" t="s">
        <v>211</v>
      </c>
      <c r="F4" s="76"/>
    </row>
    <row r="5" spans="3:6" ht="12.75">
      <c r="C5" s="54"/>
      <c r="D5" s="55"/>
      <c r="E5" s="56"/>
      <c r="F5" s="76"/>
    </row>
    <row r="6" spans="1:6" ht="12.75">
      <c r="A6" s="74" t="s">
        <v>169</v>
      </c>
      <c r="B6" s="50"/>
      <c r="C6" s="75"/>
      <c r="D6" s="76"/>
      <c r="E6" s="77"/>
      <c r="F6" s="76"/>
    </row>
    <row r="7" spans="1:6" ht="4.5" customHeight="1">
      <c r="A7" s="50"/>
      <c r="B7" s="50"/>
      <c r="C7" s="75"/>
      <c r="D7" s="76"/>
      <c r="E7" s="77"/>
      <c r="F7" s="76"/>
    </row>
    <row r="8" spans="1:5" ht="12.75">
      <c r="A8" s="43" t="s">
        <v>277</v>
      </c>
      <c r="C8" s="47">
        <f>C67</f>
        <v>546696</v>
      </c>
      <c r="E8" s="38">
        <f>E67</f>
        <v>513820</v>
      </c>
    </row>
    <row r="9" spans="1:5" ht="12.75">
      <c r="A9" s="43" t="s">
        <v>278</v>
      </c>
      <c r="C9" s="47">
        <f>C73</f>
        <v>-68400.16300000018</v>
      </c>
      <c r="E9" s="38">
        <f>E73</f>
        <v>38893</v>
      </c>
    </row>
    <row r="10" spans="3:5" ht="4.5" customHeight="1">
      <c r="C10" s="49"/>
      <c r="E10" s="42">
        <v>0</v>
      </c>
    </row>
    <row r="11" spans="1:5" ht="12.75">
      <c r="A11" s="43" t="s">
        <v>131</v>
      </c>
      <c r="C11" s="47">
        <f>SUM(C8:C9)</f>
        <v>478295.8369999998</v>
      </c>
      <c r="E11" s="38">
        <f>SUM(E8:E9)</f>
        <v>552713</v>
      </c>
    </row>
    <row r="12" spans="1:5" ht="12.75">
      <c r="A12" s="43" t="s">
        <v>48</v>
      </c>
      <c r="C12" s="47">
        <v>-59778</v>
      </c>
      <c r="E12" s="38">
        <v>-84117</v>
      </c>
    </row>
    <row r="13" spans="1:5" ht="12.75">
      <c r="A13" s="43" t="s">
        <v>132</v>
      </c>
      <c r="C13" s="47">
        <v>-101732</v>
      </c>
      <c r="E13" s="38">
        <v>-87145</v>
      </c>
    </row>
    <row r="14" spans="3:5" ht="4.5" customHeight="1">
      <c r="C14" s="49"/>
      <c r="E14" s="42">
        <v>0</v>
      </c>
    </row>
    <row r="15" spans="1:5" ht="12.75">
      <c r="A15" s="43" t="s">
        <v>133</v>
      </c>
      <c r="C15" s="47">
        <f>SUM(C11:C13)</f>
        <v>316785.8369999998</v>
      </c>
      <c r="E15" s="38">
        <f>SUM(E11:E13)</f>
        <v>381451</v>
      </c>
    </row>
    <row r="16" spans="1:5" ht="12.75">
      <c r="A16" s="43" t="s">
        <v>134</v>
      </c>
      <c r="C16" s="47">
        <v>-97824</v>
      </c>
      <c r="E16" s="38">
        <v>-44243</v>
      </c>
    </row>
    <row r="17" spans="3:5" ht="4.5" customHeight="1">
      <c r="C17" s="49"/>
      <c r="E17" s="42">
        <v>0</v>
      </c>
    </row>
    <row r="18" spans="1:5" ht="12.75">
      <c r="A18" s="43" t="s">
        <v>157</v>
      </c>
      <c r="C18" s="47">
        <f>SUM(C15:C16)</f>
        <v>218961.83699999982</v>
      </c>
      <c r="E18" s="38">
        <f>SUM(E15:E16)</f>
        <v>337208</v>
      </c>
    </row>
    <row r="19" spans="3:5" ht="4.5" customHeight="1">
      <c r="C19" s="49"/>
      <c r="E19" s="42">
        <v>0</v>
      </c>
    </row>
    <row r="21" ht="12.75">
      <c r="A21" s="59" t="s">
        <v>170</v>
      </c>
    </row>
    <row r="22" ht="4.5" customHeight="1">
      <c r="E22" s="38">
        <v>0</v>
      </c>
    </row>
    <row r="24" spans="1:5" ht="12.75">
      <c r="A24" s="43" t="s">
        <v>227</v>
      </c>
      <c r="C24" s="47">
        <v>-180959</v>
      </c>
      <c r="E24" s="38">
        <v>-203005</v>
      </c>
    </row>
    <row r="25" spans="1:5" ht="12.75">
      <c r="A25" s="43" t="s">
        <v>280</v>
      </c>
      <c r="C25" s="47">
        <f>C92</f>
        <v>13435</v>
      </c>
      <c r="E25" s="38">
        <f>E111</f>
        <v>-4141</v>
      </c>
    </row>
    <row r="26" spans="1:5" ht="12.75">
      <c r="A26" s="43" t="s">
        <v>281</v>
      </c>
      <c r="C26" s="47">
        <f>C139</f>
        <v>317134</v>
      </c>
      <c r="E26" s="38">
        <v>0</v>
      </c>
    </row>
    <row r="27" spans="1:5" ht="12.75">
      <c r="A27" s="43" t="s">
        <v>283</v>
      </c>
      <c r="C27" s="47">
        <f>C154</f>
        <v>-6778</v>
      </c>
      <c r="E27" s="38">
        <v>0</v>
      </c>
    </row>
    <row r="28" spans="1:5" ht="12.75">
      <c r="A28" s="43" t="s">
        <v>349</v>
      </c>
      <c r="C28" s="47">
        <v>-125</v>
      </c>
      <c r="E28" s="38">
        <v>0</v>
      </c>
    </row>
    <row r="29" spans="1:5" ht="12.75">
      <c r="A29" s="43" t="s">
        <v>252</v>
      </c>
      <c r="C29" s="47">
        <v>-203</v>
      </c>
      <c r="E29" s="38">
        <v>0</v>
      </c>
    </row>
    <row r="30" spans="1:5" ht="12.75">
      <c r="A30" s="43" t="s">
        <v>135</v>
      </c>
      <c r="C30" s="47">
        <v>25370</v>
      </c>
      <c r="E30" s="38">
        <v>4411</v>
      </c>
    </row>
    <row r="31" spans="1:5" ht="12.75">
      <c r="A31" s="43" t="s">
        <v>136</v>
      </c>
      <c r="C31" s="47">
        <v>-3351</v>
      </c>
      <c r="E31" s="38">
        <v>-64766</v>
      </c>
    </row>
    <row r="32" spans="3:5" ht="4.5" customHeight="1">
      <c r="C32" s="49"/>
      <c r="E32" s="42">
        <v>0</v>
      </c>
    </row>
    <row r="33" spans="1:5" ht="12.75">
      <c r="A33" s="43" t="s">
        <v>385</v>
      </c>
      <c r="C33" s="47">
        <f>SUM(C24:C31)</f>
        <v>164523</v>
      </c>
      <c r="E33" s="38">
        <f>SUM(E24:E31)</f>
        <v>-267501</v>
      </c>
    </row>
    <row r="34" spans="3:5" ht="4.5" customHeight="1">
      <c r="C34" s="49"/>
      <c r="E34" s="42">
        <v>0</v>
      </c>
    </row>
    <row r="36" ht="12.75">
      <c r="A36" s="59" t="s">
        <v>171</v>
      </c>
    </row>
    <row r="37" ht="4.5" customHeight="1">
      <c r="E37" s="38">
        <v>0</v>
      </c>
    </row>
    <row r="38" spans="1:5" ht="12.75">
      <c r="A38" s="43" t="s">
        <v>137</v>
      </c>
      <c r="C38" s="47">
        <v>33025</v>
      </c>
      <c r="E38" s="38">
        <v>8719</v>
      </c>
    </row>
    <row r="39" spans="1:5" ht="12.75">
      <c r="A39" s="43" t="s">
        <v>314</v>
      </c>
      <c r="C39" s="47">
        <v>-99523</v>
      </c>
      <c r="E39" s="38">
        <v>0</v>
      </c>
    </row>
    <row r="40" spans="1:5" ht="12.75">
      <c r="A40" s="43" t="s">
        <v>228</v>
      </c>
      <c r="C40" s="47">
        <v>809</v>
      </c>
      <c r="E40" s="38">
        <v>180230</v>
      </c>
    </row>
    <row r="41" spans="1:5" ht="12.75">
      <c r="A41" s="43" t="s">
        <v>138</v>
      </c>
      <c r="C41" s="47">
        <v>-62425.755000000005</v>
      </c>
      <c r="E41" s="38">
        <v>0</v>
      </c>
    </row>
    <row r="42" spans="3:5" ht="4.5" customHeight="1">
      <c r="C42" s="49"/>
      <c r="E42" s="42">
        <v>0</v>
      </c>
    </row>
    <row r="43" spans="1:5" ht="12.75">
      <c r="A43" s="43" t="s">
        <v>158</v>
      </c>
      <c r="C43" s="47">
        <f>SUM(C38:C41)</f>
        <v>-128114.755</v>
      </c>
      <c r="E43" s="38">
        <f>SUM(E38:E41)</f>
        <v>188949</v>
      </c>
    </row>
    <row r="44" spans="3:5" ht="4.5" customHeight="1">
      <c r="C44" s="49"/>
      <c r="E44" s="42">
        <v>0</v>
      </c>
    </row>
    <row r="45" ht="6.75" customHeight="1"/>
    <row r="46" spans="1:5" ht="12.75">
      <c r="A46" s="43" t="s">
        <v>396</v>
      </c>
      <c r="C46" s="47">
        <f>C18+C33+C43</f>
        <v>255370.08199999982</v>
      </c>
      <c r="E46" s="38">
        <v>258656</v>
      </c>
    </row>
    <row r="47" spans="1:5" ht="12.75">
      <c r="A47" s="43" t="s">
        <v>139</v>
      </c>
      <c r="C47" s="47">
        <v>120</v>
      </c>
      <c r="E47" s="38">
        <v>-3869</v>
      </c>
    </row>
    <row r="48" spans="1:5" ht="13.5" customHeight="1">
      <c r="A48" s="43" t="s">
        <v>140</v>
      </c>
      <c r="C48" s="47">
        <f>E50</f>
        <v>146204</v>
      </c>
      <c r="E48" s="38">
        <v>-108583</v>
      </c>
    </row>
    <row r="49" spans="3:5" ht="4.5" customHeight="1">
      <c r="C49" s="49"/>
      <c r="E49" s="42">
        <v>0</v>
      </c>
    </row>
    <row r="50" spans="1:5" ht="12.75">
      <c r="A50" s="43" t="s">
        <v>229</v>
      </c>
      <c r="C50" s="47">
        <f>SUM(C46:C48)</f>
        <v>401694.0819999998</v>
      </c>
      <c r="E50" s="38">
        <f>SUM(E46:E48)</f>
        <v>146204</v>
      </c>
    </row>
    <row r="51" spans="3:5" ht="4.5" customHeight="1" thickBot="1">
      <c r="C51" s="72"/>
      <c r="E51" s="73"/>
    </row>
    <row r="53" ht="12.75">
      <c r="A53" s="59" t="s">
        <v>276</v>
      </c>
    </row>
    <row r="55" spans="1:6" ht="12.75">
      <c r="A55" s="43" t="s">
        <v>398</v>
      </c>
      <c r="B55" s="93"/>
      <c r="C55" s="14"/>
      <c r="D55" s="93"/>
      <c r="E55" s="93"/>
      <c r="F55" s="101"/>
    </row>
    <row r="56" spans="1:8" ht="12.75">
      <c r="A56" s="102" t="s">
        <v>397</v>
      </c>
      <c r="B56" s="93"/>
      <c r="C56" s="132">
        <f>'Income Statement'!O25</f>
        <v>155116</v>
      </c>
      <c r="D56" s="94"/>
      <c r="E56" s="38">
        <v>382128</v>
      </c>
      <c r="F56" s="97"/>
      <c r="H56" s="38"/>
    </row>
    <row r="57" spans="1:8" ht="12.75">
      <c r="A57" s="102" t="s">
        <v>395</v>
      </c>
      <c r="B57" s="93"/>
      <c r="C57" s="43"/>
      <c r="D57" s="94"/>
      <c r="F57" s="97"/>
      <c r="H57" s="38"/>
    </row>
    <row r="58" spans="1:8" ht="12.75">
      <c r="A58" s="100" t="s">
        <v>325</v>
      </c>
      <c r="B58" s="93"/>
      <c r="C58" s="132">
        <v>108371</v>
      </c>
      <c r="D58" s="94"/>
      <c r="E58" s="38">
        <v>103076</v>
      </c>
      <c r="F58" s="97"/>
      <c r="G58" s="38"/>
      <c r="H58" s="38"/>
    </row>
    <row r="59" spans="1:8" ht="12.75">
      <c r="A59" s="100" t="s">
        <v>326</v>
      </c>
      <c r="B59" s="93"/>
      <c r="C59" s="132">
        <v>650</v>
      </c>
      <c r="D59" s="94"/>
      <c r="E59" s="38">
        <v>650</v>
      </c>
      <c r="F59" s="97"/>
      <c r="G59" s="38"/>
      <c r="H59" s="38"/>
    </row>
    <row r="60" spans="1:8" ht="12.75">
      <c r="A60" s="100" t="s">
        <v>402</v>
      </c>
      <c r="B60" s="93"/>
      <c r="C60" s="132">
        <v>-5361</v>
      </c>
      <c r="D60" s="94"/>
      <c r="E60" s="38">
        <v>1637</v>
      </c>
      <c r="F60" s="97"/>
      <c r="G60" s="38"/>
      <c r="H60" s="38"/>
    </row>
    <row r="61" spans="1:8" ht="12.75">
      <c r="A61" s="100" t="s">
        <v>307</v>
      </c>
      <c r="B61" s="93"/>
      <c r="C61" s="132">
        <v>13496</v>
      </c>
      <c r="D61" s="94"/>
      <c r="E61" s="38">
        <v>0</v>
      </c>
      <c r="F61" s="97"/>
      <c r="H61" s="38"/>
    </row>
    <row r="62" spans="1:8" ht="12.75">
      <c r="A62" s="100" t="s">
        <v>226</v>
      </c>
      <c r="B62" s="93"/>
      <c r="C62" s="132">
        <v>-1738</v>
      </c>
      <c r="D62" s="94"/>
      <c r="E62" s="38">
        <v>0</v>
      </c>
      <c r="F62" s="97"/>
      <c r="H62" s="38"/>
    </row>
    <row r="63" spans="1:8" ht="12.75">
      <c r="A63" s="100" t="s">
        <v>251</v>
      </c>
      <c r="B63" s="93"/>
      <c r="C63" s="132">
        <v>-587</v>
      </c>
      <c r="D63" s="94"/>
      <c r="E63" s="38">
        <v>0</v>
      </c>
      <c r="F63" s="97"/>
      <c r="H63" s="38"/>
    </row>
    <row r="64" spans="1:8" ht="12.75">
      <c r="A64" s="100" t="s">
        <v>224</v>
      </c>
      <c r="B64" s="93"/>
      <c r="C64" s="132">
        <v>2281</v>
      </c>
      <c r="D64" s="94"/>
      <c r="E64" s="38">
        <v>2610</v>
      </c>
      <c r="F64" s="97"/>
      <c r="G64" s="38"/>
      <c r="H64" s="38"/>
    </row>
    <row r="65" spans="1:8" ht="12.75">
      <c r="A65" s="100" t="s">
        <v>225</v>
      </c>
      <c r="B65" s="93"/>
      <c r="C65" s="132">
        <v>16272</v>
      </c>
      <c r="D65" s="94"/>
      <c r="E65" s="38">
        <v>23719</v>
      </c>
      <c r="F65" s="97"/>
      <c r="H65" s="38"/>
    </row>
    <row r="66" spans="1:8" ht="12.75">
      <c r="A66" s="100" t="s">
        <v>305</v>
      </c>
      <c r="B66" s="93"/>
      <c r="C66" s="132">
        <v>258196</v>
      </c>
      <c r="D66" s="94"/>
      <c r="E66" s="38">
        <v>0</v>
      </c>
      <c r="F66" s="97"/>
      <c r="H66" s="38"/>
    </row>
    <row r="67" spans="1:8" ht="12.75">
      <c r="A67" s="93"/>
      <c r="B67" s="93"/>
      <c r="C67" s="133">
        <f>SUM(C56:C66)</f>
        <v>546696</v>
      </c>
      <c r="D67" s="94"/>
      <c r="E67" s="99">
        <f>SUM(E56:E66)</f>
        <v>513820</v>
      </c>
      <c r="F67" s="97"/>
      <c r="G67" s="176"/>
      <c r="H67" s="38"/>
    </row>
    <row r="68" spans="1:7" ht="12.75">
      <c r="A68" s="93"/>
      <c r="B68" s="93"/>
      <c r="D68" s="93"/>
      <c r="F68" s="101"/>
      <c r="G68" s="38"/>
    </row>
    <row r="69" spans="1:6" ht="12.75">
      <c r="A69" s="92" t="s">
        <v>253</v>
      </c>
      <c r="B69" s="93"/>
      <c r="D69" s="93"/>
      <c r="F69" s="101"/>
    </row>
    <row r="70" spans="1:6" ht="12.75">
      <c r="A70" s="95" t="s">
        <v>394</v>
      </c>
      <c r="B70" s="93"/>
      <c r="C70" s="132">
        <v>-63576.66200000001</v>
      </c>
      <c r="D70" s="94"/>
      <c r="E70" s="38">
        <v>97770</v>
      </c>
      <c r="F70" s="97"/>
    </row>
    <row r="71" spans="1:6" ht="12.75">
      <c r="A71" s="95" t="s">
        <v>327</v>
      </c>
      <c r="B71" s="93"/>
      <c r="C71" s="132">
        <v>201376.7279999999</v>
      </c>
      <c r="D71" s="94"/>
      <c r="E71" s="38">
        <v>146049</v>
      </c>
      <c r="F71" s="97"/>
    </row>
    <row r="72" spans="1:6" ht="12.75">
      <c r="A72" s="95" t="s">
        <v>254</v>
      </c>
      <c r="B72" s="93"/>
      <c r="C72" s="132">
        <v>-206200.22900000005</v>
      </c>
      <c r="D72" s="94"/>
      <c r="E72" s="38">
        <v>-204926</v>
      </c>
      <c r="F72" s="97"/>
    </row>
    <row r="73" spans="1:6" ht="12.75">
      <c r="A73" s="93"/>
      <c r="B73" s="93"/>
      <c r="C73" s="133">
        <f>SUM(C70:C72)</f>
        <v>-68400.16300000018</v>
      </c>
      <c r="D73" s="94"/>
      <c r="E73" s="99">
        <f>SUM(E70:E72)</f>
        <v>38893</v>
      </c>
      <c r="F73" s="97"/>
    </row>
    <row r="74" spans="1:6" ht="12.75">
      <c r="A74" s="93"/>
      <c r="B74" s="93"/>
      <c r="C74" s="134"/>
      <c r="D74" s="94"/>
      <c r="E74" s="94"/>
      <c r="F74" s="97"/>
    </row>
    <row r="75" spans="1:6" ht="12.75">
      <c r="A75" s="43" t="s">
        <v>279</v>
      </c>
      <c r="E75" s="94"/>
      <c r="F75" s="97"/>
    </row>
    <row r="76" spans="5:6" ht="3.75" customHeight="1">
      <c r="E76" s="94"/>
      <c r="F76" s="97"/>
    </row>
    <row r="77" spans="1:6" ht="12.75">
      <c r="A77" s="60" t="s">
        <v>400</v>
      </c>
      <c r="E77" s="94"/>
      <c r="F77" s="97"/>
    </row>
    <row r="78" spans="1:6" ht="12.75">
      <c r="A78" s="60" t="s">
        <v>399</v>
      </c>
      <c r="E78" s="94"/>
      <c r="F78" s="97"/>
    </row>
    <row r="79" spans="1:6" ht="13.5">
      <c r="A79" s="65" t="s">
        <v>98</v>
      </c>
      <c r="B79" s="131"/>
      <c r="C79" s="47">
        <v>157241</v>
      </c>
      <c r="E79" s="94"/>
      <c r="F79" s="97"/>
    </row>
    <row r="80" spans="1:6" ht="13.5">
      <c r="A80" s="65" t="s">
        <v>172</v>
      </c>
      <c r="B80" s="131"/>
      <c r="C80" s="47">
        <v>29935</v>
      </c>
      <c r="E80" s="94"/>
      <c r="F80" s="97"/>
    </row>
    <row r="81" spans="1:6" ht="13.5">
      <c r="A81" s="65" t="s">
        <v>101</v>
      </c>
      <c r="B81" s="131"/>
      <c r="C81" s="47">
        <v>132065</v>
      </c>
      <c r="E81" s="94"/>
      <c r="F81" s="97"/>
    </row>
    <row r="82" spans="1:6" ht="13.5">
      <c r="A82" s="65" t="s">
        <v>102</v>
      </c>
      <c r="B82" s="131"/>
      <c r="C82" s="47">
        <v>44227</v>
      </c>
      <c r="E82" s="94"/>
      <c r="F82" s="97"/>
    </row>
    <row r="83" spans="1:6" ht="13.5">
      <c r="A83" s="65" t="s">
        <v>103</v>
      </c>
      <c r="B83" s="131"/>
      <c r="C83" s="47">
        <v>13435</v>
      </c>
      <c r="E83" s="94"/>
      <c r="F83" s="97"/>
    </row>
    <row r="84" spans="1:6" ht="13.5">
      <c r="A84" s="65" t="s">
        <v>112</v>
      </c>
      <c r="B84" s="131"/>
      <c r="C84" s="47">
        <v>-161116</v>
      </c>
      <c r="E84" s="94"/>
      <c r="F84" s="97"/>
    </row>
    <row r="85" spans="1:6" ht="13.5">
      <c r="A85" s="65" t="s">
        <v>257</v>
      </c>
      <c r="B85" s="131"/>
      <c r="C85" s="47">
        <v>2065</v>
      </c>
      <c r="E85" s="94"/>
      <c r="F85" s="97"/>
    </row>
    <row r="86" spans="1:6" ht="13.5">
      <c r="A86" s="65" t="s">
        <v>319</v>
      </c>
      <c r="B86" s="131"/>
      <c r="C86" s="47">
        <v>-7242</v>
      </c>
      <c r="E86" s="94"/>
      <c r="F86" s="97"/>
    </row>
    <row r="87" spans="1:6" ht="13.5">
      <c r="A87" s="65" t="s">
        <v>320</v>
      </c>
      <c r="B87" s="131"/>
      <c r="C87" s="49">
        <v>-311565</v>
      </c>
      <c r="E87" s="94"/>
      <c r="F87" s="97"/>
    </row>
    <row r="88" spans="1:6" ht="13.5">
      <c r="A88" s="65" t="s">
        <v>321</v>
      </c>
      <c r="B88" s="131"/>
      <c r="C88" s="47">
        <f>SUM(C79:C87)</f>
        <v>-100955</v>
      </c>
      <c r="E88" s="94"/>
      <c r="F88" s="97"/>
    </row>
    <row r="89" spans="1:6" ht="13.5">
      <c r="A89" s="60" t="s">
        <v>98</v>
      </c>
      <c r="B89" s="131"/>
      <c r="C89" s="49">
        <f>-C88</f>
        <v>100955</v>
      </c>
      <c r="E89" s="94"/>
      <c r="F89" s="97"/>
    </row>
    <row r="90" spans="1:6" ht="13.5">
      <c r="A90" s="60" t="s">
        <v>322</v>
      </c>
      <c r="B90" s="131"/>
      <c r="C90" s="47">
        <f>SUM(C88:C89)</f>
        <v>0</v>
      </c>
      <c r="E90" s="94"/>
      <c r="F90" s="97"/>
    </row>
    <row r="91" spans="1:6" ht="13.5">
      <c r="A91" s="60" t="s">
        <v>323</v>
      </c>
      <c r="B91" s="131"/>
      <c r="C91" s="49">
        <v>13435</v>
      </c>
      <c r="E91" s="94"/>
      <c r="F91" s="97"/>
    </row>
    <row r="92" spans="1:6" ht="13.5">
      <c r="A92" s="60" t="s">
        <v>324</v>
      </c>
      <c r="B92" s="131"/>
      <c r="C92" s="70">
        <f>SUM(C90:C91)</f>
        <v>13435</v>
      </c>
      <c r="E92" s="94"/>
      <c r="F92" s="97"/>
    </row>
    <row r="93" spans="5:6" ht="3.75" customHeight="1">
      <c r="E93" s="94"/>
      <c r="F93" s="97"/>
    </row>
    <row r="94" spans="1:6" ht="12.75">
      <c r="A94" s="60" t="s">
        <v>230</v>
      </c>
      <c r="E94" s="94"/>
      <c r="F94" s="97"/>
    </row>
    <row r="95" spans="1:6" ht="12.75">
      <c r="A95" s="60" t="s">
        <v>231</v>
      </c>
      <c r="E95" s="94"/>
      <c r="F95" s="97"/>
    </row>
    <row r="96" spans="1:6" ht="12.75">
      <c r="A96" s="60" t="s">
        <v>232</v>
      </c>
      <c r="E96" s="94"/>
      <c r="F96" s="97"/>
    </row>
    <row r="97" spans="1:6" ht="12.75">
      <c r="A97" s="65" t="s">
        <v>172</v>
      </c>
      <c r="C97" s="48"/>
      <c r="E97" s="38">
        <v>-69177</v>
      </c>
      <c r="F97" s="97"/>
    </row>
    <row r="98" spans="1:6" ht="12.75">
      <c r="A98" s="65" t="s">
        <v>233</v>
      </c>
      <c r="C98" s="48"/>
      <c r="E98" s="38">
        <v>-9</v>
      </c>
      <c r="F98" s="97"/>
    </row>
    <row r="99" spans="1:6" ht="12.75">
      <c r="A99" s="65" t="s">
        <v>98</v>
      </c>
      <c r="C99" s="48"/>
      <c r="E99" s="38">
        <v>-106685</v>
      </c>
      <c r="F99" s="97"/>
    </row>
    <row r="100" spans="1:6" ht="12.75">
      <c r="A100" s="65" t="s">
        <v>163</v>
      </c>
      <c r="C100" s="48"/>
      <c r="E100" s="38">
        <v>-2748</v>
      </c>
      <c r="F100" s="97"/>
    </row>
    <row r="101" spans="1:6" ht="12.75">
      <c r="A101" s="65" t="s">
        <v>101</v>
      </c>
      <c r="C101" s="48"/>
      <c r="E101" s="38">
        <v>-200297</v>
      </c>
      <c r="F101" s="97"/>
    </row>
    <row r="102" spans="1:6" ht="12.75">
      <c r="A102" s="65" t="s">
        <v>102</v>
      </c>
      <c r="C102" s="48"/>
      <c r="E102" s="38">
        <v>-333343</v>
      </c>
      <c r="F102" s="97"/>
    </row>
    <row r="103" spans="1:6" ht="12.75">
      <c r="A103" s="65" t="s">
        <v>103</v>
      </c>
      <c r="C103" s="48"/>
      <c r="E103" s="38">
        <v>-6670</v>
      </c>
      <c r="F103" s="97"/>
    </row>
    <row r="104" spans="1:6" ht="12.75">
      <c r="A104" s="65" t="s">
        <v>164</v>
      </c>
      <c r="C104" s="48"/>
      <c r="E104" s="38">
        <v>2182</v>
      </c>
      <c r="F104" s="97"/>
    </row>
    <row r="105" spans="1:6" ht="12.75">
      <c r="A105" s="65" t="s">
        <v>110</v>
      </c>
      <c r="C105" s="48"/>
      <c r="E105" s="38">
        <v>22582</v>
      </c>
      <c r="F105" s="97"/>
    </row>
    <row r="106" spans="1:6" ht="12.75">
      <c r="A106" s="65" t="s">
        <v>112</v>
      </c>
      <c r="C106" s="48"/>
      <c r="E106" s="38">
        <v>381100</v>
      </c>
      <c r="F106" s="97"/>
    </row>
    <row r="107" spans="1:6" ht="12.75">
      <c r="A107" s="65" t="s">
        <v>85</v>
      </c>
      <c r="C107" s="48"/>
      <c r="E107" s="42">
        <v>8148</v>
      </c>
      <c r="F107" s="97"/>
    </row>
    <row r="108" spans="1:6" ht="12.75">
      <c r="A108" s="60" t="s">
        <v>165</v>
      </c>
      <c r="C108" s="48"/>
      <c r="E108" s="38">
        <f>SUM(E97:E107)</f>
        <v>-304917</v>
      </c>
      <c r="F108" s="97"/>
    </row>
    <row r="109" spans="1:6" ht="12.75">
      <c r="A109" s="60" t="s">
        <v>166</v>
      </c>
      <c r="C109" s="48"/>
      <c r="E109" s="38">
        <v>294106</v>
      </c>
      <c r="F109" s="97"/>
    </row>
    <row r="110" spans="1:6" ht="12.75">
      <c r="A110" s="60" t="s">
        <v>173</v>
      </c>
      <c r="C110" s="48"/>
      <c r="E110" s="42">
        <v>6670</v>
      </c>
      <c r="F110" s="97"/>
    </row>
    <row r="111" spans="1:6" ht="12.75">
      <c r="A111" s="60" t="s">
        <v>234</v>
      </c>
      <c r="C111" s="48"/>
      <c r="E111" s="71">
        <f>SUM(E108:E110)</f>
        <v>-4141</v>
      </c>
      <c r="F111" s="97"/>
    </row>
    <row r="112" ht="12.75">
      <c r="F112" s="97"/>
    </row>
    <row r="113" spans="1:6" ht="12.75">
      <c r="A113" s="92" t="s">
        <v>282</v>
      </c>
      <c r="B113" s="93"/>
      <c r="C113" s="135"/>
      <c r="D113" s="96"/>
      <c r="E113" s="96"/>
      <c r="F113" s="98"/>
    </row>
    <row r="114" spans="1:6" ht="12.75">
      <c r="A114" s="95" t="s">
        <v>255</v>
      </c>
      <c r="B114" s="93"/>
      <c r="C114" s="135"/>
      <c r="D114" s="96"/>
      <c r="E114" s="96"/>
      <c r="F114" s="98"/>
    </row>
    <row r="115" spans="1:6" ht="12.75">
      <c r="A115" s="102" t="s">
        <v>172</v>
      </c>
      <c r="B115" s="93"/>
      <c r="C115" s="135">
        <v>146670</v>
      </c>
      <c r="D115" s="96"/>
      <c r="E115" s="96"/>
      <c r="F115" s="98"/>
    </row>
    <row r="116" spans="1:6" ht="12.75">
      <c r="A116" s="102" t="s">
        <v>318</v>
      </c>
      <c r="B116" s="93"/>
      <c r="C116" s="135">
        <v>-46117</v>
      </c>
      <c r="D116" s="96"/>
      <c r="E116" s="96"/>
      <c r="F116" s="98"/>
    </row>
    <row r="117" spans="1:6" ht="12.75">
      <c r="A117" s="102" t="s">
        <v>98</v>
      </c>
      <c r="B117" s="93"/>
      <c r="C117" s="135">
        <v>116944</v>
      </c>
      <c r="D117" s="96"/>
      <c r="E117" s="96"/>
      <c r="F117" s="98"/>
    </row>
    <row r="118" spans="1:6" ht="12.75">
      <c r="A118" s="102" t="s">
        <v>163</v>
      </c>
      <c r="B118" s="93"/>
      <c r="C118" s="135">
        <v>9518</v>
      </c>
      <c r="D118" s="96"/>
      <c r="E118" s="96"/>
      <c r="F118" s="98"/>
    </row>
    <row r="119" spans="1:6" ht="12.75">
      <c r="A119" s="102" t="s">
        <v>101</v>
      </c>
      <c r="B119" s="93"/>
      <c r="C119" s="135">
        <v>332600</v>
      </c>
      <c r="D119" s="96"/>
      <c r="E119" s="96"/>
      <c r="F119" s="98"/>
    </row>
    <row r="120" spans="1:6" ht="12.75">
      <c r="A120" s="102" t="s">
        <v>102</v>
      </c>
      <c r="B120" s="93"/>
      <c r="C120" s="135">
        <v>91197</v>
      </c>
      <c r="D120" s="96"/>
      <c r="E120" s="96"/>
      <c r="F120" s="98"/>
    </row>
    <row r="121" spans="1:6" ht="12.75">
      <c r="A121" s="102" t="s">
        <v>103</v>
      </c>
      <c r="B121" s="93"/>
      <c r="C121" s="135">
        <v>57706</v>
      </c>
      <c r="D121" s="96"/>
      <c r="E121" s="96"/>
      <c r="F121" s="98"/>
    </row>
    <row r="122" spans="1:6" ht="12.75">
      <c r="A122" s="102" t="s">
        <v>99</v>
      </c>
      <c r="B122" s="93"/>
      <c r="C122" s="135">
        <v>876</v>
      </c>
      <c r="D122" s="96"/>
      <c r="E122" s="96"/>
      <c r="F122" s="98"/>
    </row>
    <row r="123" spans="1:6" ht="12.75">
      <c r="A123" s="102" t="s">
        <v>316</v>
      </c>
      <c r="B123" s="93"/>
      <c r="C123" s="135">
        <v>-17788</v>
      </c>
      <c r="D123" s="96"/>
      <c r="E123" s="96"/>
      <c r="F123" s="98"/>
    </row>
    <row r="124" spans="1:6" ht="12.75">
      <c r="A124" s="102" t="s">
        <v>315</v>
      </c>
      <c r="B124" s="93"/>
      <c r="C124" s="135">
        <v>4331</v>
      </c>
      <c r="D124" s="96"/>
      <c r="E124" s="96"/>
      <c r="F124" s="98"/>
    </row>
    <row r="125" spans="1:6" ht="12.75">
      <c r="A125" s="102" t="s">
        <v>112</v>
      </c>
      <c r="B125" s="93"/>
      <c r="C125" s="135">
        <v>-329354</v>
      </c>
      <c r="D125" s="96"/>
      <c r="E125" s="96"/>
      <c r="F125" s="98"/>
    </row>
    <row r="126" spans="1:6" ht="12.75">
      <c r="A126" s="102" t="s">
        <v>85</v>
      </c>
      <c r="B126" s="93"/>
      <c r="C126" s="136">
        <v>-14203</v>
      </c>
      <c r="D126" s="96"/>
      <c r="E126" s="96"/>
      <c r="F126" s="98"/>
    </row>
    <row r="127" spans="1:6" ht="12.75">
      <c r="A127" s="102" t="s">
        <v>256</v>
      </c>
      <c r="B127" s="93"/>
      <c r="C127" s="135">
        <f>SUM(C115:C126)</f>
        <v>352380</v>
      </c>
      <c r="D127" s="96">
        <v>353056113</v>
      </c>
      <c r="E127" s="43"/>
      <c r="F127" s="98"/>
    </row>
    <row r="128" spans="1:6" ht="3.75" customHeight="1">
      <c r="A128" s="95"/>
      <c r="B128" s="93"/>
      <c r="C128" s="59"/>
      <c r="D128" s="96"/>
      <c r="E128" s="43"/>
      <c r="F128" s="98"/>
    </row>
    <row r="129" spans="1:6" ht="12.75">
      <c r="A129" s="95" t="s">
        <v>265</v>
      </c>
      <c r="B129" s="93"/>
      <c r="C129" s="135"/>
      <c r="D129" s="96"/>
      <c r="E129" s="43"/>
      <c r="F129" s="98"/>
    </row>
    <row r="130" spans="1:6" ht="12.75">
      <c r="A130" s="187" t="s">
        <v>269</v>
      </c>
      <c r="B130" s="93"/>
      <c r="C130" s="137">
        <v>124364</v>
      </c>
      <c r="D130" s="96"/>
      <c r="E130" s="43"/>
      <c r="F130" s="98"/>
    </row>
    <row r="131" spans="1:6" ht="12.75">
      <c r="A131" s="102" t="s">
        <v>266</v>
      </c>
      <c r="B131" s="93"/>
      <c r="C131" s="138">
        <v>-88638</v>
      </c>
      <c r="D131" s="96"/>
      <c r="E131" s="43"/>
      <c r="F131" s="98"/>
    </row>
    <row r="132" spans="1:6" ht="12.75">
      <c r="A132" s="102" t="s">
        <v>267</v>
      </c>
      <c r="B132" s="93"/>
      <c r="C132" s="139">
        <v>-33988</v>
      </c>
      <c r="D132" s="96"/>
      <c r="E132" s="43"/>
      <c r="F132" s="98"/>
    </row>
    <row r="133" spans="1:6" ht="12.75">
      <c r="A133" s="102" t="s">
        <v>268</v>
      </c>
      <c r="B133" s="93"/>
      <c r="C133" s="140">
        <f>SUM(C130:C132)</f>
        <v>1738</v>
      </c>
      <c r="D133" s="96"/>
      <c r="E133" s="43"/>
      <c r="F133" s="98"/>
    </row>
    <row r="134" spans="1:6" ht="12.75">
      <c r="A134" s="95" t="s">
        <v>317</v>
      </c>
      <c r="B134" s="93"/>
      <c r="C134" s="136">
        <v>17015</v>
      </c>
      <c r="D134" s="96"/>
      <c r="E134" s="43"/>
      <c r="F134" s="98"/>
    </row>
    <row r="135" spans="1:6" ht="12.75">
      <c r="A135" s="188" t="s">
        <v>261</v>
      </c>
      <c r="B135" s="93"/>
      <c r="C135" s="140">
        <f>C127+C133+C134</f>
        <v>371133</v>
      </c>
      <c r="D135" s="96"/>
      <c r="E135" s="43"/>
      <c r="F135" s="98"/>
    </row>
    <row r="136" spans="1:6" ht="12.75">
      <c r="A136" s="95" t="s">
        <v>264</v>
      </c>
      <c r="B136" s="93"/>
      <c r="C136" s="136">
        <v>3707</v>
      </c>
      <c r="D136" s="96"/>
      <c r="E136" s="96"/>
      <c r="F136" s="98"/>
    </row>
    <row r="137" spans="1:6" ht="12.75">
      <c r="A137" s="103" t="s">
        <v>258</v>
      </c>
      <c r="B137" s="93"/>
      <c r="C137" s="140">
        <f>C135+C136</f>
        <v>374840</v>
      </c>
      <c r="D137" s="96"/>
      <c r="E137" s="96"/>
      <c r="F137" s="98"/>
    </row>
    <row r="138" spans="1:6" ht="12.75">
      <c r="A138" s="103" t="s">
        <v>259</v>
      </c>
      <c r="B138" s="93"/>
      <c r="C138" s="140">
        <v>-57706</v>
      </c>
      <c r="D138" s="96"/>
      <c r="E138" s="96"/>
      <c r="F138" s="98"/>
    </row>
    <row r="139" spans="1:6" ht="12.75">
      <c r="A139" s="103" t="s">
        <v>260</v>
      </c>
      <c r="B139" s="93"/>
      <c r="C139" s="141">
        <f>C137+C138</f>
        <v>317134</v>
      </c>
      <c r="D139" s="96"/>
      <c r="E139" s="96"/>
      <c r="F139" s="98"/>
    </row>
    <row r="140" spans="1:6" ht="12.75">
      <c r="A140" s="93"/>
      <c r="B140" s="93"/>
      <c r="C140" s="140"/>
      <c r="D140" s="96"/>
      <c r="E140" s="96"/>
      <c r="F140" s="98"/>
    </row>
    <row r="141" spans="1:6" ht="12.75">
      <c r="A141" s="92" t="s">
        <v>284</v>
      </c>
      <c r="B141" s="93"/>
      <c r="C141" s="135"/>
      <c r="D141" s="96"/>
      <c r="E141" s="96"/>
      <c r="F141" s="98"/>
    </row>
    <row r="142" spans="1:6" ht="12.75">
      <c r="A142" s="95" t="s">
        <v>255</v>
      </c>
      <c r="B142" s="93"/>
      <c r="C142" s="135"/>
      <c r="D142" s="96"/>
      <c r="E142" s="96"/>
      <c r="F142" s="98"/>
    </row>
    <row r="143" spans="1:6" ht="12.75">
      <c r="A143" s="102" t="s">
        <v>172</v>
      </c>
      <c r="B143" s="93"/>
      <c r="C143" s="135">
        <v>6436</v>
      </c>
      <c r="D143" s="96"/>
      <c r="E143" s="96"/>
      <c r="F143" s="98"/>
    </row>
    <row r="144" spans="1:6" ht="12.75">
      <c r="A144" s="102" t="s">
        <v>101</v>
      </c>
      <c r="B144" s="93"/>
      <c r="C144" s="135">
        <v>399</v>
      </c>
      <c r="D144" s="96"/>
      <c r="E144" s="96"/>
      <c r="F144" s="98"/>
    </row>
    <row r="145" spans="1:6" ht="12.75">
      <c r="A145" s="102" t="s">
        <v>102</v>
      </c>
      <c r="B145" s="93"/>
      <c r="C145" s="135">
        <v>13708</v>
      </c>
      <c r="D145" s="96"/>
      <c r="E145" s="96"/>
      <c r="F145" s="98"/>
    </row>
    <row r="146" spans="1:6" ht="12.75">
      <c r="A146" s="102" t="s">
        <v>103</v>
      </c>
      <c r="B146" s="93"/>
      <c r="C146" s="135">
        <v>6778</v>
      </c>
      <c r="D146" s="96"/>
      <c r="E146" s="96"/>
      <c r="F146" s="98"/>
    </row>
    <row r="147" spans="1:6" ht="12.75">
      <c r="A147" s="102" t="s">
        <v>112</v>
      </c>
      <c r="B147" s="93"/>
      <c r="C147" s="135">
        <v>-30539</v>
      </c>
      <c r="D147" s="96"/>
      <c r="E147" s="96"/>
      <c r="F147" s="98"/>
    </row>
    <row r="148" spans="1:6" ht="12.75">
      <c r="A148" s="102" t="s">
        <v>163</v>
      </c>
      <c r="B148" s="93"/>
      <c r="C148" s="136">
        <v>285</v>
      </c>
      <c r="D148" s="96"/>
      <c r="E148" s="96"/>
      <c r="F148" s="98"/>
    </row>
    <row r="149" spans="1:6" ht="12.75">
      <c r="A149" s="102" t="s">
        <v>380</v>
      </c>
      <c r="B149" s="93"/>
      <c r="C149" s="135">
        <f>SUM(C143:C148)</f>
        <v>-2933</v>
      </c>
      <c r="D149" s="96"/>
      <c r="E149" s="96"/>
      <c r="F149" s="98"/>
    </row>
    <row r="150" spans="1:6" ht="12.75">
      <c r="A150" s="95" t="s">
        <v>379</v>
      </c>
      <c r="B150" s="93"/>
      <c r="C150" s="136">
        <v>2347</v>
      </c>
      <c r="D150" s="96"/>
      <c r="E150" s="96"/>
      <c r="F150" s="98"/>
    </row>
    <row r="151" spans="1:6" ht="12.75">
      <c r="A151" s="95" t="s">
        <v>268</v>
      </c>
      <c r="B151" s="93"/>
      <c r="C151" s="135">
        <f>-SUM(C149:C150)</f>
        <v>586</v>
      </c>
      <c r="D151" s="96"/>
      <c r="E151" s="96"/>
      <c r="F151" s="98"/>
    </row>
    <row r="152" spans="1:6" ht="12.75">
      <c r="A152" s="189" t="s">
        <v>261</v>
      </c>
      <c r="B152" s="93"/>
      <c r="C152" s="135">
        <v>0</v>
      </c>
      <c r="D152" s="96"/>
      <c r="E152" s="96"/>
      <c r="F152" s="98"/>
    </row>
    <row r="153" spans="1:6" ht="12.75">
      <c r="A153" s="189" t="s">
        <v>262</v>
      </c>
      <c r="B153" s="93"/>
      <c r="C153" s="135">
        <v>6778</v>
      </c>
      <c r="D153" s="96"/>
      <c r="E153" s="96"/>
      <c r="F153" s="98"/>
    </row>
    <row r="154" spans="1:6" ht="12.75">
      <c r="A154" s="189" t="s">
        <v>263</v>
      </c>
      <c r="B154" s="93"/>
      <c r="C154" s="141">
        <f>-C153</f>
        <v>-6778</v>
      </c>
      <c r="D154" s="96"/>
      <c r="E154" s="96"/>
      <c r="F154" s="98"/>
    </row>
    <row r="155" spans="1:6" ht="12.75">
      <c r="A155" s="93"/>
      <c r="B155" s="93"/>
      <c r="C155" s="140"/>
      <c r="D155" s="96"/>
      <c r="E155" s="96"/>
      <c r="F155" s="98"/>
    </row>
    <row r="156" spans="1:6" ht="12.75">
      <c r="A156" s="103" t="s">
        <v>381</v>
      </c>
      <c r="B156" s="93"/>
      <c r="C156" s="135"/>
      <c r="D156" s="96"/>
      <c r="E156" s="96"/>
      <c r="F156" s="98"/>
    </row>
    <row r="157" spans="1:6" ht="12.75">
      <c r="A157" s="103" t="s">
        <v>382</v>
      </c>
      <c r="B157" s="93"/>
      <c r="C157" s="135"/>
      <c r="D157" s="96"/>
      <c r="E157" s="96"/>
      <c r="F157" s="98"/>
    </row>
    <row r="158" spans="1:6" ht="12.75">
      <c r="A158" s="103" t="s">
        <v>383</v>
      </c>
      <c r="B158" s="93"/>
      <c r="C158" s="135"/>
      <c r="D158" s="96"/>
      <c r="E158" s="96"/>
      <c r="F158" s="98"/>
    </row>
    <row r="159" spans="1:6" ht="12.75">
      <c r="A159" s="93"/>
      <c r="B159" s="93"/>
      <c r="C159" s="135"/>
      <c r="D159" s="96"/>
      <c r="E159" s="96"/>
      <c r="F159" s="98"/>
    </row>
    <row r="160" spans="1:6" ht="12.75">
      <c r="A160" s="93"/>
      <c r="B160" s="93"/>
      <c r="C160" s="135"/>
      <c r="D160" s="96"/>
      <c r="E160" s="96"/>
      <c r="F160" s="98"/>
    </row>
    <row r="161" spans="1:6" ht="12.75">
      <c r="A161" s="93"/>
      <c r="B161" s="93"/>
      <c r="C161" s="140"/>
      <c r="D161" s="96"/>
      <c r="E161" s="96"/>
      <c r="F161" s="98"/>
    </row>
    <row r="162" spans="1:6" ht="12.75">
      <c r="A162" s="93"/>
      <c r="B162" s="93"/>
      <c r="C162" s="140"/>
      <c r="D162" s="96"/>
      <c r="E162" s="96"/>
      <c r="F162" s="98"/>
    </row>
    <row r="163" spans="1:6" ht="12.75">
      <c r="A163" s="93"/>
      <c r="B163" s="93"/>
      <c r="C163" s="140"/>
      <c r="D163" s="96"/>
      <c r="E163" s="96"/>
      <c r="F163" s="98"/>
    </row>
    <row r="164" spans="1:6" ht="12.75">
      <c r="A164" s="93"/>
      <c r="B164" s="93"/>
      <c r="C164" s="135"/>
      <c r="D164" s="96"/>
      <c r="E164" s="96"/>
      <c r="F164" s="98"/>
    </row>
    <row r="165" spans="1:6" ht="12.75">
      <c r="A165" s="93"/>
      <c r="B165" s="93"/>
      <c r="C165" s="135"/>
      <c r="D165" s="96"/>
      <c r="E165" s="96"/>
      <c r="F165" s="98"/>
    </row>
    <row r="166" spans="1:6" ht="12.75">
      <c r="A166" s="93"/>
      <c r="B166" s="93"/>
      <c r="C166" s="135"/>
      <c r="D166" s="96"/>
      <c r="E166" s="96"/>
      <c r="F166" s="98"/>
    </row>
    <row r="167" spans="1:6" ht="12.75">
      <c r="A167" s="93"/>
      <c r="B167" s="93"/>
      <c r="C167" s="135"/>
      <c r="D167" s="96"/>
      <c r="E167" s="96"/>
      <c r="F167" s="98"/>
    </row>
    <row r="168" spans="1:6" ht="12.75">
      <c r="A168" s="93"/>
      <c r="B168" s="93"/>
      <c r="C168" s="135"/>
      <c r="D168" s="96"/>
      <c r="E168" s="96"/>
      <c r="F168" s="98"/>
    </row>
    <row r="169" spans="1:6" ht="12.75">
      <c r="A169" s="93"/>
      <c r="B169" s="93"/>
      <c r="C169" s="135"/>
      <c r="D169" s="96"/>
      <c r="E169" s="96"/>
      <c r="F169" s="98"/>
    </row>
    <row r="170" spans="1:6" ht="12.75">
      <c r="A170" s="93"/>
      <c r="B170" s="93"/>
      <c r="C170" s="135"/>
      <c r="D170" s="96"/>
      <c r="E170" s="96"/>
      <c r="F170" s="98"/>
    </row>
    <row r="171" spans="1:6" ht="12.75">
      <c r="A171" s="93"/>
      <c r="B171" s="93"/>
      <c r="C171" s="135"/>
      <c r="D171" s="96"/>
      <c r="E171" s="96"/>
      <c r="F171" s="98"/>
    </row>
  </sheetData>
  <printOptions/>
  <pageMargins left="0.7480314960629921" right="0.7480314960629921" top="0.7874015748031497" bottom="0.7874015748031497" header="0.5118110236220472" footer="0.5118110236220472"/>
  <pageSetup fitToHeight="3" horizontalDpi="600" verticalDpi="600" orientation="landscape" paperSize="9" scale="63" r:id="rId1"/>
  <rowBreaks count="2" manualBreakCount="2">
    <brk id="52" max="5" man="1"/>
    <brk id="11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48.7109375" style="1" customWidth="1"/>
    <col min="2" max="2" width="1.7109375" style="1" customWidth="1"/>
    <col min="3" max="3" width="13.00390625" style="10" customWidth="1"/>
    <col min="4" max="4" width="1.7109375" style="1" customWidth="1"/>
    <col min="5" max="5" width="9.421875" style="10" bestFit="1" customWidth="1"/>
    <col min="6" max="6" width="11.8515625" style="10" bestFit="1" customWidth="1"/>
    <col min="7" max="7" width="13.00390625" style="10" bestFit="1" customWidth="1"/>
    <col min="8" max="8" width="12.57421875" style="10" bestFit="1" customWidth="1"/>
    <col min="9" max="9" width="12.7109375" style="10" customWidth="1"/>
    <col min="10" max="10" width="13.00390625" style="14" bestFit="1" customWidth="1"/>
    <col min="11" max="16384" width="9.140625" style="1" customWidth="1"/>
  </cols>
  <sheetData>
    <row r="1" ht="18">
      <c r="A1" s="6" t="s">
        <v>403</v>
      </c>
    </row>
    <row r="2" spans="2:8" s="43" customFormat="1" ht="12.75">
      <c r="B2" s="142"/>
      <c r="C2" s="110"/>
      <c r="E2" s="47"/>
      <c r="H2" s="38"/>
    </row>
    <row r="3" spans="5:7" ht="12.75">
      <c r="E3" s="12"/>
      <c r="F3" s="12"/>
      <c r="G3" s="12"/>
    </row>
    <row r="4" ht="12.75">
      <c r="H4" s="12" t="s">
        <v>124</v>
      </c>
    </row>
    <row r="5" spans="3:10" ht="12.75">
      <c r="C5" s="12" t="s">
        <v>126</v>
      </c>
      <c r="E5" s="12" t="s">
        <v>119</v>
      </c>
      <c r="F5" s="12" t="s">
        <v>119</v>
      </c>
      <c r="G5" s="12" t="s">
        <v>328</v>
      </c>
      <c r="H5" s="12" t="s">
        <v>125</v>
      </c>
      <c r="I5" s="12" t="s">
        <v>123</v>
      </c>
      <c r="J5" s="15"/>
    </row>
    <row r="6" spans="1:10" ht="12.75">
      <c r="A6" s="8" t="s">
        <v>41</v>
      </c>
      <c r="B6" s="8"/>
      <c r="C6" s="13" t="s">
        <v>127</v>
      </c>
      <c r="D6" s="8"/>
      <c r="E6" s="13" t="s">
        <v>120</v>
      </c>
      <c r="F6" s="13" t="s">
        <v>121</v>
      </c>
      <c r="G6" s="13" t="s">
        <v>329</v>
      </c>
      <c r="H6" s="13" t="s">
        <v>122</v>
      </c>
      <c r="I6" s="13" t="s">
        <v>122</v>
      </c>
      <c r="J6" s="39" t="s">
        <v>83</v>
      </c>
    </row>
    <row r="8" spans="1:10" ht="12.75">
      <c r="A8" s="3" t="s">
        <v>330</v>
      </c>
      <c r="C8" s="10">
        <v>298541</v>
      </c>
      <c r="E8" s="10">
        <v>2985</v>
      </c>
      <c r="F8" s="10">
        <v>494570</v>
      </c>
      <c r="H8" s="10">
        <v>94808</v>
      </c>
      <c r="I8" s="10">
        <v>423170</v>
      </c>
      <c r="J8" s="14">
        <f aca="true" t="shared" si="0" ref="J8:J14">SUM(E8:I8)</f>
        <v>1015533</v>
      </c>
    </row>
    <row r="9" spans="1:10" ht="12.75">
      <c r="A9" s="1" t="s">
        <v>236</v>
      </c>
      <c r="C9" s="38">
        <v>3549</v>
      </c>
      <c r="D9" s="43"/>
      <c r="E9" s="38">
        <v>36</v>
      </c>
      <c r="F9" s="38">
        <v>25767</v>
      </c>
      <c r="G9" s="38"/>
      <c r="H9" s="38">
        <v>0</v>
      </c>
      <c r="I9" s="38">
        <v>0</v>
      </c>
      <c r="J9" s="14">
        <f t="shared" si="0"/>
        <v>25803</v>
      </c>
    </row>
    <row r="10" spans="1:10" ht="12.75">
      <c r="A10" s="1" t="s">
        <v>235</v>
      </c>
      <c r="C10" s="38">
        <v>3082</v>
      </c>
      <c r="D10" s="43"/>
      <c r="E10" s="38">
        <v>31</v>
      </c>
      <c r="F10" s="38">
        <f>39885-F9</f>
        <v>14118</v>
      </c>
      <c r="G10" s="38"/>
      <c r="H10" s="38">
        <v>0</v>
      </c>
      <c r="I10" s="38">
        <v>0</v>
      </c>
      <c r="J10" s="14">
        <f t="shared" si="0"/>
        <v>14149</v>
      </c>
    </row>
    <row r="11" spans="1:10" ht="12.75">
      <c r="A11" s="1" t="s">
        <v>129</v>
      </c>
      <c r="E11" s="38">
        <v>0</v>
      </c>
      <c r="F11" s="38">
        <v>0</v>
      </c>
      <c r="G11" s="38"/>
      <c r="H11" s="38">
        <f>83611</f>
        <v>83611</v>
      </c>
      <c r="I11" s="38">
        <v>0</v>
      </c>
      <c r="J11" s="14">
        <f t="shared" si="0"/>
        <v>83611</v>
      </c>
    </row>
    <row r="12" spans="1:10" ht="12.75">
      <c r="A12" s="1" t="s">
        <v>331</v>
      </c>
      <c r="E12" s="38">
        <v>0</v>
      </c>
      <c r="F12" s="38">
        <v>0</v>
      </c>
      <c r="G12" s="38"/>
      <c r="H12" s="38">
        <f>-9300</f>
        <v>-9300</v>
      </c>
      <c r="I12" s="38">
        <f>-H12</f>
        <v>9300</v>
      </c>
      <c r="J12" s="14">
        <f t="shared" si="0"/>
        <v>0</v>
      </c>
    </row>
    <row r="13" spans="1:10" ht="12.75">
      <c r="A13" s="1" t="s">
        <v>332</v>
      </c>
      <c r="E13" s="38">
        <v>0</v>
      </c>
      <c r="F13" s="38">
        <v>0</v>
      </c>
      <c r="G13" s="38"/>
      <c r="H13" s="38">
        <v>0</v>
      </c>
      <c r="I13" s="38">
        <v>146200</v>
      </c>
      <c r="J13" s="14">
        <f t="shared" si="0"/>
        <v>146200</v>
      </c>
    </row>
    <row r="14" spans="1:10" ht="12.75">
      <c r="A14" s="1" t="s">
        <v>237</v>
      </c>
      <c r="E14" s="38">
        <v>0</v>
      </c>
      <c r="F14" s="38">
        <v>0</v>
      </c>
      <c r="G14" s="38"/>
      <c r="H14" s="38">
        <v>0</v>
      </c>
      <c r="I14" s="38">
        <v>-63539</v>
      </c>
      <c r="J14" s="14">
        <f t="shared" si="0"/>
        <v>-63539</v>
      </c>
    </row>
    <row r="15" spans="3:10" ht="4.5" customHeight="1">
      <c r="C15" s="20"/>
      <c r="E15" s="20"/>
      <c r="F15" s="20"/>
      <c r="G15" s="20"/>
      <c r="H15" s="20"/>
      <c r="I15" s="20"/>
      <c r="J15" s="29"/>
    </row>
    <row r="16" spans="1:10" ht="12.75">
      <c r="A16" s="3" t="s">
        <v>128</v>
      </c>
      <c r="C16" s="10">
        <f>SUM(C8:C15)</f>
        <v>305172</v>
      </c>
      <c r="E16" s="10">
        <f>SUM(E8:E15)</f>
        <v>3052</v>
      </c>
      <c r="F16" s="10">
        <f>SUM(F8:F15)</f>
        <v>534455</v>
      </c>
      <c r="H16" s="10">
        <f>SUM(H8:H15)</f>
        <v>169119</v>
      </c>
      <c r="I16" s="10">
        <f>SUM(I8:I15)</f>
        <v>515131</v>
      </c>
      <c r="J16" s="14">
        <f>SUM(J8:J15)</f>
        <v>1221757</v>
      </c>
    </row>
    <row r="17" spans="1:10" ht="12.75">
      <c r="A17" s="1" t="s">
        <v>236</v>
      </c>
      <c r="C17" s="10">
        <v>6165</v>
      </c>
      <c r="E17" s="10">
        <f>ROUND(C17*0.01,0)</f>
        <v>62</v>
      </c>
      <c r="F17" s="10">
        <v>37300</v>
      </c>
      <c r="H17" s="10">
        <v>0</v>
      </c>
      <c r="I17" s="10">
        <v>0</v>
      </c>
      <c r="J17" s="14">
        <f aca="true" t="shared" si="1" ref="J17:J24">SUM(E17:I17)</f>
        <v>37362</v>
      </c>
    </row>
    <row r="18" spans="1:10" ht="12.75">
      <c r="A18" s="1" t="s">
        <v>235</v>
      </c>
      <c r="C18" s="10">
        <v>1933</v>
      </c>
      <c r="E18" s="10">
        <f>ROUND(C18*0.01,0)</f>
        <v>19</v>
      </c>
      <c r="F18" s="38">
        <v>9753</v>
      </c>
      <c r="G18" s="38"/>
      <c r="H18" s="10">
        <v>0</v>
      </c>
      <c r="I18" s="10">
        <v>0</v>
      </c>
      <c r="J18" s="14">
        <f t="shared" si="1"/>
        <v>9772</v>
      </c>
    </row>
    <row r="19" spans="1:10" ht="12.75">
      <c r="A19" s="1" t="s">
        <v>239</v>
      </c>
      <c r="E19" s="10">
        <v>0</v>
      </c>
      <c r="F19" s="38">
        <v>-1053</v>
      </c>
      <c r="G19" s="38"/>
      <c r="H19" s="10">
        <v>0</v>
      </c>
      <c r="I19" s="10">
        <v>0</v>
      </c>
      <c r="J19" s="14">
        <f t="shared" si="1"/>
        <v>-1053</v>
      </c>
    </row>
    <row r="20" spans="1:10" ht="12.75">
      <c r="A20" s="1" t="s">
        <v>238</v>
      </c>
      <c r="C20" s="10">
        <v>40848</v>
      </c>
      <c r="E20" s="10">
        <f>ROUND(C20*0.01,0)</f>
        <v>408</v>
      </c>
      <c r="F20" s="10">
        <v>293698</v>
      </c>
      <c r="H20" s="10">
        <v>0</v>
      </c>
      <c r="I20" s="10">
        <v>0</v>
      </c>
      <c r="J20" s="14">
        <f t="shared" si="1"/>
        <v>294106</v>
      </c>
    </row>
    <row r="21" spans="1:10" ht="12.75">
      <c r="A21" s="1" t="s">
        <v>129</v>
      </c>
      <c r="E21" s="10">
        <v>0</v>
      </c>
      <c r="F21" s="10">
        <v>0</v>
      </c>
      <c r="H21" s="10">
        <v>-86097</v>
      </c>
      <c r="I21" s="10">
        <v>0</v>
      </c>
      <c r="J21" s="14">
        <f t="shared" si="1"/>
        <v>-86097</v>
      </c>
    </row>
    <row r="22" spans="1:10" ht="12.75">
      <c r="A22" s="1" t="s">
        <v>331</v>
      </c>
      <c r="E22" s="10">
        <v>0</v>
      </c>
      <c r="F22" s="10">
        <v>0</v>
      </c>
      <c r="H22" s="10">
        <v>-9300</v>
      </c>
      <c r="I22" s="10">
        <v>9300</v>
      </c>
      <c r="J22" s="14">
        <f t="shared" si="1"/>
        <v>0</v>
      </c>
    </row>
    <row r="23" spans="1:10" ht="12.75">
      <c r="A23" s="1" t="s">
        <v>332</v>
      </c>
      <c r="E23" s="10">
        <v>0</v>
      </c>
      <c r="F23" s="10">
        <v>0</v>
      </c>
      <c r="H23" s="10">
        <v>0</v>
      </c>
      <c r="I23" s="10">
        <v>214268</v>
      </c>
      <c r="J23" s="14">
        <f t="shared" si="1"/>
        <v>214268</v>
      </c>
    </row>
    <row r="24" spans="1:10" ht="12.75">
      <c r="A24" s="1" t="s">
        <v>237</v>
      </c>
      <c r="E24" s="10">
        <v>0</v>
      </c>
      <c r="F24" s="10">
        <v>0</v>
      </c>
      <c r="H24" s="10">
        <v>0</v>
      </c>
      <c r="I24" s="10">
        <v>-81605</v>
      </c>
      <c r="J24" s="14">
        <f t="shared" si="1"/>
        <v>-81605</v>
      </c>
    </row>
    <row r="25" spans="3:10" ht="4.5" customHeight="1">
      <c r="C25" s="20"/>
      <c r="E25" s="20"/>
      <c r="F25" s="20"/>
      <c r="G25" s="20"/>
      <c r="H25" s="20"/>
      <c r="I25" s="20"/>
      <c r="J25" s="29"/>
    </row>
    <row r="26" spans="1:10" ht="12.75">
      <c r="A26" s="3" t="s">
        <v>240</v>
      </c>
      <c r="C26" s="10">
        <f>SUM(C16:C25)</f>
        <v>354118</v>
      </c>
      <c r="E26" s="10">
        <f>SUM(E16:E25)</f>
        <v>3541</v>
      </c>
      <c r="F26" s="10">
        <f>SUM(F16:F25)</f>
        <v>874153</v>
      </c>
      <c r="G26" s="10">
        <v>0</v>
      </c>
      <c r="H26" s="10">
        <f>SUM(H16:H25)</f>
        <v>73722</v>
      </c>
      <c r="I26" s="10">
        <f>SUM(I16:I25)</f>
        <v>657094</v>
      </c>
      <c r="J26" s="14">
        <f>SUM(J16:J25)</f>
        <v>1608510</v>
      </c>
    </row>
    <row r="27" spans="3:10" ht="4.5" customHeight="1">
      <c r="C27" s="36"/>
      <c r="D27" s="31"/>
      <c r="E27" s="36"/>
      <c r="F27" s="36"/>
      <c r="G27" s="36"/>
      <c r="H27" s="36"/>
      <c r="I27" s="36"/>
      <c r="J27" s="37"/>
    </row>
    <row r="28" spans="1:10" ht="12.75">
      <c r="A28" s="1" t="s">
        <v>235</v>
      </c>
      <c r="C28" s="10">
        <v>7087</v>
      </c>
      <c r="E28" s="10">
        <v>71</v>
      </c>
      <c r="F28" s="10">
        <v>33149</v>
      </c>
      <c r="G28" s="10">
        <v>0</v>
      </c>
      <c r="H28" s="10">
        <v>0</v>
      </c>
      <c r="I28" s="10">
        <v>0</v>
      </c>
      <c r="J28" s="14">
        <f>SUM(E28:I28)</f>
        <v>33220</v>
      </c>
    </row>
    <row r="29" spans="1:10" ht="12.75">
      <c r="A29" s="1" t="s">
        <v>239</v>
      </c>
      <c r="E29" s="10">
        <v>0</v>
      </c>
      <c r="F29" s="38">
        <v>-195</v>
      </c>
      <c r="G29" s="38">
        <v>0</v>
      </c>
      <c r="H29" s="10">
        <v>0</v>
      </c>
      <c r="I29" s="10">
        <v>0</v>
      </c>
      <c r="J29" s="14">
        <f aca="true" t="shared" si="2" ref="J29:J36">SUM(E29:I29)</f>
        <v>-195</v>
      </c>
    </row>
    <row r="30" spans="1:10" ht="12.75">
      <c r="A30" s="1" t="s">
        <v>353</v>
      </c>
      <c r="E30" s="10">
        <v>0</v>
      </c>
      <c r="F30" s="38">
        <v>0</v>
      </c>
      <c r="G30" s="38">
        <v>-22804</v>
      </c>
      <c r="H30" s="10">
        <v>0</v>
      </c>
      <c r="I30" s="10">
        <v>0</v>
      </c>
      <c r="J30" s="14">
        <f t="shared" si="2"/>
        <v>-22804</v>
      </c>
    </row>
    <row r="31" spans="1:10" ht="12.75">
      <c r="A31" s="1" t="s">
        <v>352</v>
      </c>
      <c r="E31" s="10">
        <v>0</v>
      </c>
      <c r="F31" s="38">
        <v>0</v>
      </c>
      <c r="G31" s="38">
        <v>-100177</v>
      </c>
      <c r="H31" s="10">
        <v>0</v>
      </c>
      <c r="I31" s="10">
        <v>0</v>
      </c>
      <c r="J31" s="14">
        <f t="shared" si="2"/>
        <v>-100177</v>
      </c>
    </row>
    <row r="32" spans="1:10" ht="12.75">
      <c r="A32" s="1" t="s">
        <v>333</v>
      </c>
      <c r="E32" s="10">
        <v>0</v>
      </c>
      <c r="F32" s="10">
        <v>0</v>
      </c>
      <c r="G32" s="10">
        <v>0</v>
      </c>
      <c r="H32" s="38">
        <v>-35726</v>
      </c>
      <c r="I32" s="10">
        <v>0</v>
      </c>
      <c r="J32" s="14">
        <f>SUM(E32:I32)</f>
        <v>-35726</v>
      </c>
    </row>
    <row r="33" spans="1:10" ht="12.75">
      <c r="A33" s="1" t="s">
        <v>129</v>
      </c>
      <c r="E33" s="10">
        <v>0</v>
      </c>
      <c r="F33" s="10">
        <v>0</v>
      </c>
      <c r="G33" s="10">
        <v>0</v>
      </c>
      <c r="H33" s="10">
        <v>246</v>
      </c>
      <c r="I33" s="10">
        <v>0</v>
      </c>
      <c r="J33" s="14">
        <f t="shared" si="2"/>
        <v>246</v>
      </c>
    </row>
    <row r="34" spans="1:10" ht="12.75">
      <c r="A34" s="1" t="s">
        <v>331</v>
      </c>
      <c r="E34" s="10">
        <v>0</v>
      </c>
      <c r="F34" s="10">
        <v>0</v>
      </c>
      <c r="G34" s="10">
        <v>0</v>
      </c>
      <c r="H34" s="10">
        <v>-9300</v>
      </c>
      <c r="I34" s="10">
        <v>9300</v>
      </c>
      <c r="J34" s="14">
        <f t="shared" si="2"/>
        <v>0</v>
      </c>
    </row>
    <row r="35" spans="1:10" ht="12.75">
      <c r="A35" s="1" t="s">
        <v>36</v>
      </c>
      <c r="E35" s="10">
        <v>0</v>
      </c>
      <c r="F35" s="10">
        <v>0</v>
      </c>
      <c r="G35" s="10">
        <v>0</v>
      </c>
      <c r="H35" s="10">
        <v>0</v>
      </c>
      <c r="I35" s="38">
        <f>'Income Statement'!O34</f>
        <v>-12553</v>
      </c>
      <c r="J35" s="14">
        <f t="shared" si="2"/>
        <v>-12553</v>
      </c>
    </row>
    <row r="36" spans="1:10" ht="12.75">
      <c r="A36" s="1" t="s">
        <v>237</v>
      </c>
      <c r="E36" s="10">
        <v>0</v>
      </c>
      <c r="F36" s="10">
        <v>0</v>
      </c>
      <c r="G36" s="10">
        <v>0</v>
      </c>
      <c r="H36" s="10">
        <v>0</v>
      </c>
      <c r="I36" s="38">
        <v>-97824</v>
      </c>
      <c r="J36" s="14">
        <f t="shared" si="2"/>
        <v>-97824</v>
      </c>
    </row>
    <row r="37" spans="3:10" ht="4.5" customHeight="1">
      <c r="C37" s="20"/>
      <c r="E37" s="20"/>
      <c r="F37" s="20"/>
      <c r="G37" s="20"/>
      <c r="H37" s="20"/>
      <c r="I37" s="20"/>
      <c r="J37" s="29"/>
    </row>
    <row r="38" spans="3:10" ht="12.75">
      <c r="C38" s="14">
        <f>SUM(C26:C37)</f>
        <v>361205</v>
      </c>
      <c r="E38" s="14">
        <f aca="true" t="shared" si="3" ref="E38:J38">SUM(E26:E37)</f>
        <v>3612</v>
      </c>
      <c r="F38" s="14">
        <f t="shared" si="3"/>
        <v>907107</v>
      </c>
      <c r="G38" s="14">
        <f t="shared" si="3"/>
        <v>-122981</v>
      </c>
      <c r="H38" s="14">
        <f t="shared" si="3"/>
        <v>28942</v>
      </c>
      <c r="I38" s="14">
        <f t="shared" si="3"/>
        <v>556017</v>
      </c>
      <c r="J38" s="14">
        <f t="shared" si="3"/>
        <v>1372697</v>
      </c>
    </row>
    <row r="39" spans="3:10" ht="4.5" customHeight="1" thickBot="1">
      <c r="C39" s="22"/>
      <c r="E39" s="22"/>
      <c r="F39" s="22"/>
      <c r="G39" s="22"/>
      <c r="H39" s="22"/>
      <c r="I39" s="22"/>
      <c r="J39" s="30"/>
    </row>
  </sheetData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140625" defaultRowHeight="12.75"/>
  <cols>
    <col min="1" max="1" width="28.7109375" style="43" customWidth="1"/>
    <col min="2" max="2" width="1.7109375" style="43" customWidth="1"/>
    <col min="3" max="3" width="13.7109375" style="47" bestFit="1" customWidth="1"/>
    <col min="4" max="4" width="1.7109375" style="43" customWidth="1"/>
    <col min="5" max="5" width="11.140625" style="38" bestFit="1" customWidth="1"/>
    <col min="6" max="6" width="1.7109375" style="43" customWidth="1"/>
    <col min="7" max="7" width="12.57421875" style="47" bestFit="1" customWidth="1"/>
    <col min="8" max="8" width="1.7109375" style="43" customWidth="1"/>
    <col min="9" max="9" width="10.8515625" style="38" bestFit="1" customWidth="1"/>
    <col min="10" max="10" width="1.7109375" style="43" customWidth="1"/>
    <col min="11" max="11" width="13.7109375" style="43" bestFit="1" customWidth="1"/>
    <col min="12" max="12" width="1.7109375" style="43" customWidth="1"/>
    <col min="13" max="13" width="14.00390625" style="47" bestFit="1" customWidth="1"/>
    <col min="14" max="14" width="1.7109375" style="43" customWidth="1"/>
    <col min="15" max="15" width="11.28125" style="38" bestFit="1" customWidth="1"/>
    <col min="16" max="16" width="1.7109375" style="43" customWidth="1"/>
    <col min="17" max="17" width="11.8515625" style="38" bestFit="1" customWidth="1"/>
    <col min="18" max="18" width="1.7109375" style="43" customWidth="1"/>
    <col min="19" max="19" width="14.00390625" style="47" bestFit="1" customWidth="1"/>
    <col min="20" max="20" width="1.7109375" style="43" customWidth="1"/>
    <col min="21" max="21" width="11.140625" style="38" bestFit="1" customWidth="1"/>
    <col min="22" max="16384" width="9.140625" style="43" customWidth="1"/>
  </cols>
  <sheetData>
    <row r="1" ht="18">
      <c r="A1" s="53" t="s">
        <v>272</v>
      </c>
    </row>
    <row r="3" spans="1:21" ht="12.75">
      <c r="A3" s="43" t="s">
        <v>348</v>
      </c>
      <c r="C3" s="194" t="s">
        <v>273</v>
      </c>
      <c r="D3" s="194"/>
      <c r="E3" s="194"/>
      <c r="G3" s="194" t="s">
        <v>410</v>
      </c>
      <c r="H3" s="194"/>
      <c r="I3" s="194"/>
      <c r="K3" s="111" t="s">
        <v>356</v>
      </c>
      <c r="M3" s="194" t="s">
        <v>249</v>
      </c>
      <c r="N3" s="194"/>
      <c r="O3" s="194"/>
      <c r="P3" s="110"/>
      <c r="Q3" s="110" t="s">
        <v>274</v>
      </c>
      <c r="S3" s="194" t="s">
        <v>83</v>
      </c>
      <c r="T3" s="194"/>
      <c r="U3" s="194"/>
    </row>
    <row r="4" spans="1:21" ht="12.75">
      <c r="A4" s="57" t="s">
        <v>41</v>
      </c>
      <c r="B4" s="57"/>
      <c r="C4" s="80" t="s">
        <v>250</v>
      </c>
      <c r="D4" s="58"/>
      <c r="E4" s="81" t="s">
        <v>84</v>
      </c>
      <c r="F4" s="58"/>
      <c r="G4" s="80" t="s">
        <v>250</v>
      </c>
      <c r="H4" s="58"/>
      <c r="I4" s="81" t="s">
        <v>84</v>
      </c>
      <c r="J4" s="58"/>
      <c r="K4" s="83">
        <v>2004</v>
      </c>
      <c r="L4" s="58"/>
      <c r="M4" s="80" t="s">
        <v>250</v>
      </c>
      <c r="N4" s="58"/>
      <c r="O4" s="81" t="s">
        <v>84</v>
      </c>
      <c r="P4" s="58"/>
      <c r="Q4" s="81" t="s">
        <v>84</v>
      </c>
      <c r="R4" s="58"/>
      <c r="S4" s="80" t="s">
        <v>250</v>
      </c>
      <c r="T4" s="58"/>
      <c r="U4" s="81" t="s">
        <v>84</v>
      </c>
    </row>
    <row r="6" ht="12.75">
      <c r="A6" s="59" t="s">
        <v>96</v>
      </c>
    </row>
    <row r="7" ht="4.5" customHeight="1"/>
    <row r="8" spans="1:21" ht="12.75">
      <c r="A8" s="43" t="s">
        <v>97</v>
      </c>
      <c r="C8" s="47">
        <f>SUM(C9:C14)</f>
        <v>1340618</v>
      </c>
      <c r="E8" s="38">
        <f>SUM(E9:E14)</f>
        <v>1111721</v>
      </c>
      <c r="G8" s="47">
        <f>SUM(G9:G14)</f>
        <v>73772</v>
      </c>
      <c r="I8" s="38">
        <f>SUM(I9:I14)</f>
        <v>43721</v>
      </c>
      <c r="K8" s="47">
        <f>SUM(K9:K14)</f>
        <v>-554703</v>
      </c>
      <c r="M8" s="47">
        <f>SUM(M9:M14)</f>
        <v>859687</v>
      </c>
      <c r="O8" s="38">
        <f>SUM(O9:O14)</f>
        <v>1155442</v>
      </c>
      <c r="Q8" s="38">
        <f>SUM(Q9:Q14)</f>
        <v>297059</v>
      </c>
      <c r="S8" s="47">
        <f>SUM(S9:S14)</f>
        <v>859687</v>
      </c>
      <c r="U8" s="38">
        <f>SUM(U9:U14)</f>
        <v>1452501</v>
      </c>
    </row>
    <row r="9" spans="1:21" ht="12.75">
      <c r="A9" s="60" t="s">
        <v>172</v>
      </c>
      <c r="C9" s="67">
        <f aca="true" t="shared" si="0" ref="C9:C15">M9-K9-G9</f>
        <v>553166</v>
      </c>
      <c r="E9" s="41">
        <f>O9-I9</f>
        <v>538767</v>
      </c>
      <c r="G9" s="67">
        <v>72178</v>
      </c>
      <c r="I9" s="41">
        <v>74803</v>
      </c>
      <c r="K9" s="67">
        <v>34003</v>
      </c>
      <c r="M9" s="67">
        <f aca="true" t="shared" si="1" ref="M9:M45">S9</f>
        <v>659347</v>
      </c>
      <c r="O9" s="41">
        <v>613570</v>
      </c>
      <c r="Q9" s="41">
        <v>133693</v>
      </c>
      <c r="S9" s="67">
        <f>'Balance Sheet'!C9</f>
        <v>659347</v>
      </c>
      <c r="U9" s="41">
        <f>'Balance Sheet'!E9</f>
        <v>747263</v>
      </c>
    </row>
    <row r="10" spans="1:21" ht="12.75">
      <c r="A10" s="60" t="s">
        <v>220</v>
      </c>
      <c r="C10" s="68">
        <f t="shared" si="0"/>
        <v>3930</v>
      </c>
      <c r="E10" s="23">
        <f aca="true" t="shared" si="2" ref="E10:E46">O10-I10</f>
        <v>4580</v>
      </c>
      <c r="G10" s="68">
        <v>0</v>
      </c>
      <c r="I10" s="23">
        <v>0</v>
      </c>
      <c r="K10" s="68">
        <v>0</v>
      </c>
      <c r="M10" s="68">
        <f t="shared" si="1"/>
        <v>3930</v>
      </c>
      <c r="O10" s="23">
        <v>4580</v>
      </c>
      <c r="Q10" s="23">
        <v>0</v>
      </c>
      <c r="S10" s="68">
        <f>'Balance Sheet'!C10</f>
        <v>3930</v>
      </c>
      <c r="U10" s="23">
        <f>'Balance Sheet'!E10</f>
        <v>4580</v>
      </c>
    </row>
    <row r="11" spans="1:21" ht="12.75">
      <c r="A11" s="60" t="s">
        <v>98</v>
      </c>
      <c r="C11" s="68">
        <f t="shared" si="0"/>
        <v>14330</v>
      </c>
      <c r="E11" s="23">
        <f t="shared" si="2"/>
        <v>15225</v>
      </c>
      <c r="G11" s="68">
        <v>83950</v>
      </c>
      <c r="I11" s="23">
        <v>94025</v>
      </c>
      <c r="K11" s="68">
        <v>0</v>
      </c>
      <c r="M11" s="68">
        <f t="shared" si="1"/>
        <v>98280</v>
      </c>
      <c r="O11" s="23">
        <v>109250</v>
      </c>
      <c r="Q11" s="23">
        <v>126038</v>
      </c>
      <c r="S11" s="68">
        <f>'Balance Sheet'!C11</f>
        <v>98280</v>
      </c>
      <c r="U11" s="23">
        <f>'Balance Sheet'!E11</f>
        <v>235288</v>
      </c>
    </row>
    <row r="12" spans="1:21" ht="12.75">
      <c r="A12" s="60" t="s">
        <v>215</v>
      </c>
      <c r="C12" s="68">
        <f t="shared" si="0"/>
        <v>70524</v>
      </c>
      <c r="E12" s="23">
        <f t="shared" si="2"/>
        <v>82996</v>
      </c>
      <c r="G12" s="68">
        <v>1152</v>
      </c>
      <c r="I12" s="23">
        <v>-1633</v>
      </c>
      <c r="K12" s="68">
        <v>0</v>
      </c>
      <c r="M12" s="68">
        <f t="shared" si="1"/>
        <v>71676</v>
      </c>
      <c r="O12" s="23">
        <v>81363</v>
      </c>
      <c r="Q12" s="23">
        <v>0</v>
      </c>
      <c r="S12" s="68">
        <f>'Balance Sheet'!C12</f>
        <v>71676</v>
      </c>
      <c r="U12" s="23">
        <f>'Balance Sheet'!E12</f>
        <v>81363</v>
      </c>
    </row>
    <row r="13" spans="1:21" ht="12.75">
      <c r="A13" s="60" t="s">
        <v>337</v>
      </c>
      <c r="C13" s="68">
        <f t="shared" si="0"/>
        <v>672214</v>
      </c>
      <c r="E13" s="23">
        <f t="shared" si="2"/>
        <v>-173729</v>
      </c>
      <c r="G13" s="68">
        <v>-83508</v>
      </c>
      <c r="I13" s="23">
        <v>173729</v>
      </c>
      <c r="K13" s="68">
        <v>-588706</v>
      </c>
      <c r="M13" s="68">
        <f t="shared" si="1"/>
        <v>0</v>
      </c>
      <c r="O13" s="23">
        <v>0</v>
      </c>
      <c r="Q13" s="23">
        <v>0</v>
      </c>
      <c r="S13" s="68">
        <v>0</v>
      </c>
      <c r="U13" s="23">
        <v>0</v>
      </c>
    </row>
    <row r="14" spans="1:21" ht="12.75">
      <c r="A14" s="60" t="s">
        <v>99</v>
      </c>
      <c r="C14" s="69">
        <f t="shared" si="0"/>
        <v>26454</v>
      </c>
      <c r="E14" s="24">
        <f t="shared" si="2"/>
        <v>643882</v>
      </c>
      <c r="G14" s="69">
        <v>0</v>
      </c>
      <c r="I14" s="24">
        <v>-297203</v>
      </c>
      <c r="K14" s="69">
        <v>0</v>
      </c>
      <c r="M14" s="69">
        <f t="shared" si="1"/>
        <v>26454</v>
      </c>
      <c r="O14" s="24">
        <v>346679</v>
      </c>
      <c r="Q14" s="24">
        <v>37328</v>
      </c>
      <c r="S14" s="69">
        <f>'Balance Sheet'!C13</f>
        <v>26454</v>
      </c>
      <c r="U14" s="24">
        <f>'Balance Sheet'!E13</f>
        <v>384007</v>
      </c>
    </row>
    <row r="15" spans="3:13" ht="4.5" customHeight="1">
      <c r="C15" s="47">
        <f t="shared" si="0"/>
        <v>0</v>
      </c>
      <c r="E15" s="38">
        <f t="shared" si="2"/>
        <v>0</v>
      </c>
      <c r="K15" s="47"/>
      <c r="M15" s="47">
        <f t="shared" si="1"/>
        <v>0</v>
      </c>
    </row>
    <row r="16" spans="1:21" ht="12.75">
      <c r="A16" s="43" t="s">
        <v>100</v>
      </c>
      <c r="C16" s="48">
        <f>SUM(C17:C20)</f>
        <v>1593444</v>
      </c>
      <c r="E16" s="51">
        <f t="shared" si="2"/>
        <v>1222058</v>
      </c>
      <c r="G16" s="47">
        <f>SUM(G17:G20)</f>
        <v>475580</v>
      </c>
      <c r="I16" s="38">
        <f>SUM(I17:I20)</f>
        <v>426190</v>
      </c>
      <c r="K16" s="47">
        <f>SUM(K17:K20)</f>
        <v>204923</v>
      </c>
      <c r="M16" s="47">
        <f t="shared" si="1"/>
        <v>2273947</v>
      </c>
      <c r="O16" s="38">
        <f>SUM(O17:O20)</f>
        <v>1648248</v>
      </c>
      <c r="Q16" s="38">
        <f>SUM(Q17:Q20)</f>
        <v>353081</v>
      </c>
      <c r="S16" s="47">
        <f>SUM(S17:S20)</f>
        <v>2273947</v>
      </c>
      <c r="U16" s="38">
        <f>SUM(U17:U20)</f>
        <v>2001329</v>
      </c>
    </row>
    <row r="17" spans="1:21" ht="12.75">
      <c r="A17" s="60" t="s">
        <v>101</v>
      </c>
      <c r="C17" s="67">
        <f>M17-K17-G17</f>
        <v>1061111</v>
      </c>
      <c r="E17" s="41">
        <f t="shared" si="2"/>
        <v>944778</v>
      </c>
      <c r="G17" s="67">
        <v>210267</v>
      </c>
      <c r="I17" s="41">
        <v>179750</v>
      </c>
      <c r="K17" s="67">
        <v>139961</v>
      </c>
      <c r="M17" s="67">
        <f t="shared" si="1"/>
        <v>1411339</v>
      </c>
      <c r="O17" s="41">
        <v>1124528</v>
      </c>
      <c r="Q17" s="41">
        <v>276533</v>
      </c>
      <c r="S17" s="67">
        <f>'Balance Sheet'!C16</f>
        <v>1411339</v>
      </c>
      <c r="U17" s="41">
        <f>'Balance Sheet'!E16</f>
        <v>1401061</v>
      </c>
    </row>
    <row r="18" spans="1:21" ht="12.75">
      <c r="A18" s="60" t="s">
        <v>102</v>
      </c>
      <c r="C18" s="68">
        <f>M18-K18-G18</f>
        <v>139475</v>
      </c>
      <c r="E18" s="23">
        <f t="shared" si="2"/>
        <v>127067</v>
      </c>
      <c r="G18" s="68">
        <v>261424</v>
      </c>
      <c r="I18" s="23">
        <v>236576</v>
      </c>
      <c r="K18" s="68">
        <v>42863</v>
      </c>
      <c r="M18" s="68">
        <f t="shared" si="1"/>
        <v>443762</v>
      </c>
      <c r="O18" s="23">
        <v>363643</v>
      </c>
      <c r="Q18" s="23">
        <v>53662</v>
      </c>
      <c r="S18" s="68">
        <f>'Balance Sheet'!C17</f>
        <v>443762</v>
      </c>
      <c r="U18" s="23">
        <f>'Balance Sheet'!E17</f>
        <v>417305</v>
      </c>
    </row>
    <row r="19" spans="1:21" ht="12.75">
      <c r="A19" s="60" t="s">
        <v>159</v>
      </c>
      <c r="C19" s="68">
        <f>M19-K19-G19</f>
        <v>7518</v>
      </c>
      <c r="E19" s="23">
        <f t="shared" si="2"/>
        <v>3468</v>
      </c>
      <c r="G19" s="68">
        <v>924</v>
      </c>
      <c r="I19" s="23">
        <v>286</v>
      </c>
      <c r="K19" s="68">
        <v>0</v>
      </c>
      <c r="M19" s="68">
        <f t="shared" si="1"/>
        <v>8442</v>
      </c>
      <c r="O19" s="23">
        <v>3754</v>
      </c>
      <c r="Q19" s="23">
        <v>0</v>
      </c>
      <c r="S19" s="68">
        <f>'Balance Sheet'!C18</f>
        <v>8442</v>
      </c>
      <c r="U19" s="23">
        <f>'Balance Sheet'!E18</f>
        <v>3754</v>
      </c>
    </row>
    <row r="20" spans="1:21" ht="12.75">
      <c r="A20" s="60" t="s">
        <v>216</v>
      </c>
      <c r="C20" s="68">
        <f>M20-K20-G20</f>
        <v>385340</v>
      </c>
      <c r="E20" s="23">
        <f t="shared" si="2"/>
        <v>146745</v>
      </c>
      <c r="G20" s="68">
        <v>2965</v>
      </c>
      <c r="I20" s="23">
        <v>9578</v>
      </c>
      <c r="K20" s="68">
        <v>22099</v>
      </c>
      <c r="M20" s="69">
        <f t="shared" si="1"/>
        <v>410404</v>
      </c>
      <c r="O20" s="23">
        <v>156323</v>
      </c>
      <c r="Q20" s="23">
        <v>22886</v>
      </c>
      <c r="S20" s="69">
        <f>'Balance Sheet'!C19</f>
        <v>410404</v>
      </c>
      <c r="U20" s="24">
        <f>'Balance Sheet'!E19</f>
        <v>179209</v>
      </c>
    </row>
    <row r="21" spans="1:21" ht="4.5" customHeight="1">
      <c r="A21" s="60"/>
      <c r="C21" s="70">
        <f>M21-K21-G21</f>
        <v>0</v>
      </c>
      <c r="E21" s="71">
        <f t="shared" si="2"/>
        <v>0</v>
      </c>
      <c r="G21" s="70"/>
      <c r="I21" s="71"/>
      <c r="K21" s="70"/>
      <c r="M21" s="49">
        <f t="shared" si="1"/>
        <v>0</v>
      </c>
      <c r="O21" s="71"/>
      <c r="Q21" s="71"/>
      <c r="S21" s="49"/>
      <c r="U21" s="42"/>
    </row>
    <row r="22" spans="1:21" ht="12.75">
      <c r="A22" s="43" t="s">
        <v>46</v>
      </c>
      <c r="C22" s="47">
        <f>C8+C16</f>
        <v>2934062</v>
      </c>
      <c r="E22" s="38">
        <f t="shared" si="2"/>
        <v>2333779</v>
      </c>
      <c r="G22" s="47">
        <f>G8+G16</f>
        <v>549352</v>
      </c>
      <c r="I22" s="38">
        <f>I8+I16</f>
        <v>469911</v>
      </c>
      <c r="K22" s="47">
        <f>K8+K16</f>
        <v>-349780</v>
      </c>
      <c r="M22" s="47">
        <f t="shared" si="1"/>
        <v>3133634</v>
      </c>
      <c r="O22" s="38">
        <f>O8+O16</f>
        <v>2803690</v>
      </c>
      <c r="Q22" s="38">
        <f>Q8+Q16</f>
        <v>650140</v>
      </c>
      <c r="S22" s="47">
        <f>S8+S16</f>
        <v>3133634</v>
      </c>
      <c r="U22" s="38">
        <f>U8+U16</f>
        <v>3453830</v>
      </c>
    </row>
    <row r="23" spans="3:21" ht="4.5" customHeight="1" thickBot="1">
      <c r="C23" s="72">
        <f>M23-K23-G23</f>
        <v>0</v>
      </c>
      <c r="E23" s="73">
        <f t="shared" si="2"/>
        <v>0</v>
      </c>
      <c r="G23" s="72"/>
      <c r="I23" s="73"/>
      <c r="K23" s="72"/>
      <c r="M23" s="72">
        <f t="shared" si="1"/>
        <v>0</v>
      </c>
      <c r="O23" s="73"/>
      <c r="Q23" s="73"/>
      <c r="S23" s="72"/>
      <c r="U23" s="73"/>
    </row>
    <row r="24" ht="12.75">
      <c r="K24" s="47"/>
    </row>
    <row r="25" spans="1:11" ht="12.75">
      <c r="A25" s="59" t="s">
        <v>219</v>
      </c>
      <c r="K25" s="47"/>
    </row>
    <row r="26" spans="3:13" ht="4.5" customHeight="1">
      <c r="C26" s="47">
        <f>M26-K26-G26</f>
        <v>0</v>
      </c>
      <c r="E26" s="38">
        <f t="shared" si="2"/>
        <v>0</v>
      </c>
      <c r="K26" s="47"/>
      <c r="M26" s="47">
        <f t="shared" si="1"/>
        <v>0</v>
      </c>
    </row>
    <row r="27" spans="1:21" ht="12.75">
      <c r="A27" s="43" t="s">
        <v>104</v>
      </c>
      <c r="C27" s="47">
        <f>SUM(C28:C33)</f>
        <v>1808764</v>
      </c>
      <c r="E27" s="38">
        <f t="shared" si="2"/>
        <v>1237366</v>
      </c>
      <c r="G27" s="47">
        <f>SUM(G28:G33)</f>
        <v>-374</v>
      </c>
      <c r="I27" s="38">
        <f>SUM(I28:I33)</f>
        <v>-6748</v>
      </c>
      <c r="K27" s="47">
        <f>SUM(K28:K33)</f>
        <v>-435693</v>
      </c>
      <c r="M27" s="47">
        <f t="shared" si="1"/>
        <v>1372697</v>
      </c>
      <c r="O27" s="38">
        <f>SUM(O28:O33)</f>
        <v>1230618</v>
      </c>
      <c r="Q27" s="38">
        <f>SUM(Q28:Q33)</f>
        <v>377892</v>
      </c>
      <c r="S27" s="47">
        <f>SUM(S28:S33)</f>
        <v>1372697</v>
      </c>
      <c r="U27" s="38">
        <f>SUM(U28:U33)</f>
        <v>1608510</v>
      </c>
    </row>
    <row r="28" spans="1:22" ht="12.75">
      <c r="A28" s="60" t="s">
        <v>105</v>
      </c>
      <c r="C28" s="67">
        <f aca="true" t="shared" si="3" ref="C28:C38">M28-K28-G28</f>
        <v>3612</v>
      </c>
      <c r="E28" s="41">
        <f t="shared" si="2"/>
        <v>3541</v>
      </c>
      <c r="G28" s="67">
        <v>0</v>
      </c>
      <c r="I28" s="41">
        <v>0</v>
      </c>
      <c r="K28" s="67">
        <v>0</v>
      </c>
      <c r="M28" s="67">
        <f t="shared" si="1"/>
        <v>3612</v>
      </c>
      <c r="O28" s="41">
        <v>3541</v>
      </c>
      <c r="Q28" s="41">
        <v>0</v>
      </c>
      <c r="S28" s="67">
        <f>'Balance Sheet'!C27</f>
        <v>3612</v>
      </c>
      <c r="U28" s="41">
        <f>'Balance Sheet'!E27</f>
        <v>3541</v>
      </c>
      <c r="V28" s="38"/>
    </row>
    <row r="29" spans="1:21" ht="12.75">
      <c r="A29" s="60" t="s">
        <v>106</v>
      </c>
      <c r="C29" s="68">
        <f t="shared" si="3"/>
        <v>907107</v>
      </c>
      <c r="E29" s="23">
        <f t="shared" si="2"/>
        <v>874153</v>
      </c>
      <c r="G29" s="68">
        <v>0</v>
      </c>
      <c r="I29" s="23">
        <v>0</v>
      </c>
      <c r="K29" s="68">
        <v>0</v>
      </c>
      <c r="M29" s="68">
        <f t="shared" si="1"/>
        <v>907107</v>
      </c>
      <c r="O29" s="23">
        <v>874153</v>
      </c>
      <c r="Q29" s="23">
        <v>0</v>
      </c>
      <c r="S29" s="68">
        <f>'Balance Sheet'!C28</f>
        <v>907107</v>
      </c>
      <c r="U29" s="23">
        <f>'Balance Sheet'!E28</f>
        <v>874153</v>
      </c>
    </row>
    <row r="30" spans="1:21" ht="12.75">
      <c r="A30" s="60" t="s">
        <v>336</v>
      </c>
      <c r="C30" s="68">
        <f t="shared" si="3"/>
        <v>-122981</v>
      </c>
      <c r="E30" s="23">
        <f t="shared" si="2"/>
        <v>0</v>
      </c>
      <c r="G30" s="68">
        <v>0</v>
      </c>
      <c r="I30" s="23">
        <v>0</v>
      </c>
      <c r="K30" s="68">
        <v>0</v>
      </c>
      <c r="M30" s="68">
        <f t="shared" si="1"/>
        <v>-122981</v>
      </c>
      <c r="O30" s="23">
        <v>0</v>
      </c>
      <c r="Q30" s="23"/>
      <c r="S30" s="68">
        <f>'Balance Sheet'!C29</f>
        <v>-122981</v>
      </c>
      <c r="U30" s="23">
        <v>0</v>
      </c>
    </row>
    <row r="31" spans="1:21" ht="12.75">
      <c r="A31" s="60" t="s">
        <v>275</v>
      </c>
      <c r="C31" s="68">
        <f t="shared" si="3"/>
        <v>0</v>
      </c>
      <c r="E31" s="23">
        <f t="shared" si="2"/>
        <v>-393034</v>
      </c>
      <c r="G31" s="68">
        <v>0</v>
      </c>
      <c r="I31" s="23">
        <v>0</v>
      </c>
      <c r="K31" s="68">
        <v>0</v>
      </c>
      <c r="M31" s="68">
        <f t="shared" si="1"/>
        <v>0</v>
      </c>
      <c r="O31" s="23">
        <v>-393034</v>
      </c>
      <c r="Q31" s="23">
        <v>393034</v>
      </c>
      <c r="S31" s="68">
        <v>0</v>
      </c>
      <c r="U31" s="23">
        <v>0</v>
      </c>
    </row>
    <row r="32" spans="1:21" ht="12.75">
      <c r="A32" s="60" t="s">
        <v>107</v>
      </c>
      <c r="C32" s="68">
        <f t="shared" si="3"/>
        <v>28942</v>
      </c>
      <c r="E32" s="23">
        <f t="shared" si="2"/>
        <v>149885</v>
      </c>
      <c r="G32" s="68">
        <v>0</v>
      </c>
      <c r="I32" s="23">
        <v>0</v>
      </c>
      <c r="K32" s="68">
        <v>0</v>
      </c>
      <c r="M32" s="68">
        <f t="shared" si="1"/>
        <v>28942</v>
      </c>
      <c r="O32" s="23">
        <v>149885</v>
      </c>
      <c r="Q32" s="23">
        <v>-76163</v>
      </c>
      <c r="S32" s="68">
        <f>'Balance Sheet'!C30</f>
        <v>28942</v>
      </c>
      <c r="U32" s="23">
        <f>'Balance Sheet'!E30</f>
        <v>73722</v>
      </c>
    </row>
    <row r="33" spans="1:21" ht="12.75">
      <c r="A33" s="60" t="s">
        <v>108</v>
      </c>
      <c r="C33" s="69">
        <f t="shared" si="3"/>
        <v>992084</v>
      </c>
      <c r="E33" s="24">
        <f t="shared" si="2"/>
        <v>602821</v>
      </c>
      <c r="G33" s="69">
        <v>-374</v>
      </c>
      <c r="I33" s="24">
        <v>-6748</v>
      </c>
      <c r="K33" s="69">
        <v>-435693</v>
      </c>
      <c r="M33" s="69">
        <f t="shared" si="1"/>
        <v>556017</v>
      </c>
      <c r="O33" s="24">
        <v>596073</v>
      </c>
      <c r="Q33" s="24">
        <v>61021</v>
      </c>
      <c r="S33" s="69">
        <f>'Balance Sheet'!C31</f>
        <v>556017</v>
      </c>
      <c r="U33" s="24">
        <f>'Balance Sheet'!E31</f>
        <v>657094</v>
      </c>
    </row>
    <row r="34" spans="3:13" ht="4.5" customHeight="1">
      <c r="C34" s="47">
        <f t="shared" si="3"/>
        <v>0</v>
      </c>
      <c r="E34" s="38">
        <f t="shared" si="2"/>
        <v>0</v>
      </c>
      <c r="K34" s="47"/>
      <c r="M34" s="47">
        <f t="shared" si="1"/>
        <v>0</v>
      </c>
    </row>
    <row r="35" spans="1:11" ht="12.75">
      <c r="A35" s="43" t="s">
        <v>109</v>
      </c>
      <c r="K35" s="47"/>
    </row>
    <row r="36" spans="1:21" ht="12.75">
      <c r="A36" s="60" t="s">
        <v>334</v>
      </c>
      <c r="C36" s="47">
        <f t="shared" si="3"/>
        <v>236560</v>
      </c>
      <c r="E36" s="38">
        <f t="shared" si="2"/>
        <v>262762</v>
      </c>
      <c r="G36" s="47">
        <v>23170</v>
      </c>
      <c r="I36" s="38">
        <v>70652</v>
      </c>
      <c r="K36" s="47">
        <v>0</v>
      </c>
      <c r="M36" s="47">
        <f t="shared" si="1"/>
        <v>259730</v>
      </c>
      <c r="O36" s="38">
        <f>402673-69259</f>
        <v>333414</v>
      </c>
      <c r="Q36" s="38">
        <v>9859</v>
      </c>
      <c r="S36" s="47">
        <f>'Balance Sheet'!C34</f>
        <v>259730</v>
      </c>
      <c r="U36" s="38">
        <f>'Balance Sheet'!E34</f>
        <v>343273</v>
      </c>
    </row>
    <row r="37" spans="1:21" ht="12.75">
      <c r="A37" s="60" t="s">
        <v>217</v>
      </c>
      <c r="C37" s="47">
        <f t="shared" si="3"/>
        <v>15793</v>
      </c>
      <c r="E37" s="38">
        <f t="shared" si="2"/>
        <v>15252</v>
      </c>
      <c r="G37" s="47">
        <v>2977</v>
      </c>
      <c r="I37" s="38">
        <v>0</v>
      </c>
      <c r="K37" s="47">
        <v>0</v>
      </c>
      <c r="M37" s="47">
        <f t="shared" si="1"/>
        <v>18770</v>
      </c>
      <c r="O37" s="38">
        <v>15252</v>
      </c>
      <c r="Q37" s="38">
        <v>0</v>
      </c>
      <c r="S37" s="47">
        <f>'Balance Sheet'!C35</f>
        <v>18770</v>
      </c>
      <c r="U37" s="38">
        <f>'Balance Sheet'!E35</f>
        <v>15252</v>
      </c>
    </row>
    <row r="38" spans="3:13" ht="4.5" customHeight="1">
      <c r="C38" s="47">
        <f t="shared" si="3"/>
        <v>0</v>
      </c>
      <c r="E38" s="38">
        <f t="shared" si="2"/>
        <v>0</v>
      </c>
      <c r="K38" s="47"/>
      <c r="M38" s="47">
        <f t="shared" si="1"/>
        <v>0</v>
      </c>
    </row>
    <row r="39" spans="1:21" ht="12.75">
      <c r="A39" s="43" t="s">
        <v>111</v>
      </c>
      <c r="C39" s="47">
        <f>SUM(C40:C43)</f>
        <v>872945</v>
      </c>
      <c r="E39" s="38">
        <f t="shared" si="2"/>
        <v>818399</v>
      </c>
      <c r="G39" s="47">
        <f>SUM(G40:G43)</f>
        <v>523579</v>
      </c>
      <c r="I39" s="38">
        <f>SUM(I40:I43)</f>
        <v>406007</v>
      </c>
      <c r="K39" s="47">
        <f>SUM(K40:K43)</f>
        <v>85913</v>
      </c>
      <c r="M39" s="47">
        <f t="shared" si="1"/>
        <v>1482437</v>
      </c>
      <c r="O39" s="38">
        <f>SUM(O40:O43)</f>
        <v>1224406</v>
      </c>
      <c r="Q39" s="38">
        <f>SUM(Q40:Q43)</f>
        <v>262389</v>
      </c>
      <c r="S39" s="47">
        <f>SUM(S40:S43)</f>
        <v>1482437</v>
      </c>
      <c r="U39" s="38">
        <f>SUM(U40:U43)</f>
        <v>1486795</v>
      </c>
    </row>
    <row r="40" spans="1:21" ht="12.75">
      <c r="A40" s="60" t="s">
        <v>112</v>
      </c>
      <c r="C40" s="67">
        <f>M40-K40-G40</f>
        <v>792068</v>
      </c>
      <c r="E40" s="41">
        <f t="shared" si="2"/>
        <v>741356</v>
      </c>
      <c r="G40" s="67">
        <v>512103</v>
      </c>
      <c r="I40" s="41">
        <v>400502</v>
      </c>
      <c r="K40" s="67">
        <v>85913</v>
      </c>
      <c r="M40" s="67">
        <f t="shared" si="1"/>
        <v>1390084</v>
      </c>
      <c r="O40" s="41">
        <v>1141858</v>
      </c>
      <c r="Q40" s="41">
        <v>231885</v>
      </c>
      <c r="S40" s="67">
        <f>'Balance Sheet'!C38</f>
        <v>1390084</v>
      </c>
      <c r="U40" s="41">
        <f>'Balance Sheet'!E38</f>
        <v>1373743</v>
      </c>
    </row>
    <row r="41" spans="1:21" ht="12.75">
      <c r="A41" s="60" t="s">
        <v>113</v>
      </c>
      <c r="C41" s="68">
        <f>M41-K41-G41</f>
        <v>0</v>
      </c>
      <c r="E41" s="23">
        <f t="shared" si="2"/>
        <v>0</v>
      </c>
      <c r="G41" s="68">
        <v>8710</v>
      </c>
      <c r="I41" s="23">
        <v>3525</v>
      </c>
      <c r="K41" s="68">
        <v>0</v>
      </c>
      <c r="M41" s="68">
        <f t="shared" si="1"/>
        <v>8710</v>
      </c>
      <c r="O41" s="23">
        <v>3525</v>
      </c>
      <c r="Q41" s="23">
        <v>29480</v>
      </c>
      <c r="S41" s="68">
        <f>'Balance Sheet'!C39</f>
        <v>8710</v>
      </c>
      <c r="U41" s="23">
        <f>'Balance Sheet'!E39</f>
        <v>33005</v>
      </c>
    </row>
    <row r="42" spans="1:21" ht="12.75">
      <c r="A42" s="60" t="s">
        <v>334</v>
      </c>
      <c r="C42" s="68">
        <f>M42-K42-G42</f>
        <v>78053</v>
      </c>
      <c r="E42" s="23">
        <f t="shared" si="2"/>
        <v>67279</v>
      </c>
      <c r="G42" s="68">
        <v>2766</v>
      </c>
      <c r="I42" s="23">
        <v>1980</v>
      </c>
      <c r="K42" s="68">
        <v>0</v>
      </c>
      <c r="M42" s="68">
        <f t="shared" si="1"/>
        <v>80819</v>
      </c>
      <c r="O42" s="23">
        <v>69259</v>
      </c>
      <c r="Q42" s="23">
        <v>0</v>
      </c>
      <c r="S42" s="68">
        <f>'Balance Sheet'!C40</f>
        <v>80819</v>
      </c>
      <c r="U42" s="23">
        <f>'Balance Sheet'!E40</f>
        <v>69259</v>
      </c>
    </row>
    <row r="43" spans="1:21" ht="12.75">
      <c r="A43" s="60" t="s">
        <v>114</v>
      </c>
      <c r="C43" s="69">
        <f>M43-K43-G43</f>
        <v>2824</v>
      </c>
      <c r="E43" s="24">
        <f t="shared" si="2"/>
        <v>9764</v>
      </c>
      <c r="G43" s="69">
        <v>0</v>
      </c>
      <c r="I43" s="24">
        <v>0</v>
      </c>
      <c r="K43" s="69">
        <v>0</v>
      </c>
      <c r="M43" s="69">
        <f t="shared" si="1"/>
        <v>2824</v>
      </c>
      <c r="O43" s="24">
        <v>9764</v>
      </c>
      <c r="Q43" s="24">
        <v>1024</v>
      </c>
      <c r="S43" s="69">
        <f>'Balance Sheet'!C41</f>
        <v>2824</v>
      </c>
      <c r="U43" s="24">
        <f>'Balance Sheet'!E41</f>
        <v>10788</v>
      </c>
    </row>
    <row r="44" spans="1:21" ht="4.5" customHeight="1">
      <c r="A44" s="60"/>
      <c r="C44" s="49">
        <f>M44-K44-G44</f>
        <v>0</v>
      </c>
      <c r="E44" s="42">
        <f t="shared" si="2"/>
        <v>0</v>
      </c>
      <c r="G44" s="49"/>
      <c r="I44" s="42"/>
      <c r="K44" s="49"/>
      <c r="M44" s="49">
        <f t="shared" si="1"/>
        <v>0</v>
      </c>
      <c r="O44" s="42"/>
      <c r="Q44" s="42"/>
      <c r="S44" s="49"/>
      <c r="U44" s="42"/>
    </row>
    <row r="45" spans="1:21" ht="12.75">
      <c r="A45" s="43" t="s">
        <v>218</v>
      </c>
      <c r="C45" s="47">
        <f>C27+C36+C37+C39</f>
        <v>2934062</v>
      </c>
      <c r="E45" s="38">
        <f t="shared" si="2"/>
        <v>2333779</v>
      </c>
      <c r="G45" s="47">
        <f>G27+G36+G37+G39</f>
        <v>549352</v>
      </c>
      <c r="I45" s="38">
        <f>I27+I36+I37+I39</f>
        <v>469911</v>
      </c>
      <c r="K45" s="47">
        <f>K27+K36+K37+K39</f>
        <v>-349780</v>
      </c>
      <c r="M45" s="47">
        <f t="shared" si="1"/>
        <v>3133634</v>
      </c>
      <c r="O45" s="38">
        <f>O27+O36+O37+O39</f>
        <v>2803690</v>
      </c>
      <c r="Q45" s="38">
        <f>Q27+Q36+Q37+Q39</f>
        <v>650140</v>
      </c>
      <c r="S45" s="47">
        <f>S27+S36+S37+S39</f>
        <v>3133634</v>
      </c>
      <c r="U45" s="38">
        <f>U27+U36+U37+U39</f>
        <v>3453830</v>
      </c>
    </row>
    <row r="46" spans="3:21" ht="4.5" customHeight="1" thickBot="1">
      <c r="C46" s="72"/>
      <c r="E46" s="73">
        <f t="shared" si="2"/>
        <v>0</v>
      </c>
      <c r="G46" s="72"/>
      <c r="I46" s="73"/>
      <c r="K46" s="72"/>
      <c r="M46" s="72"/>
      <c r="O46" s="73"/>
      <c r="Q46" s="73"/>
      <c r="S46" s="72"/>
      <c r="U46" s="73"/>
    </row>
    <row r="47" spans="9:15" ht="12.75">
      <c r="I47" s="47"/>
      <c r="O47" s="47"/>
    </row>
    <row r="48" spans="3:19" ht="12.75">
      <c r="C48" s="52"/>
      <c r="E48" s="40"/>
      <c r="G48" s="52"/>
      <c r="I48" s="40"/>
      <c r="M48" s="52"/>
      <c r="O48" s="40"/>
      <c r="Q48" s="40"/>
      <c r="S48" s="52"/>
    </row>
  </sheetData>
  <mergeCells count="4">
    <mergeCell ref="S3:U3"/>
    <mergeCell ref="C3:E3"/>
    <mergeCell ref="G3:I3"/>
    <mergeCell ref="M3:O3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54.7109375" style="43" customWidth="1"/>
    <col min="2" max="2" width="1.7109375" style="43" customWidth="1"/>
    <col min="3" max="3" width="14.00390625" style="47" bestFit="1" customWidth="1"/>
    <col min="4" max="4" width="1.7109375" style="43" customWidth="1"/>
    <col min="5" max="5" width="10.8515625" style="38" bestFit="1" customWidth="1"/>
    <col min="6" max="6" width="1.7109375" style="43" customWidth="1"/>
    <col min="7" max="7" width="14.00390625" style="47" bestFit="1" customWidth="1"/>
    <col min="8" max="8" width="1.7109375" style="43" customWidth="1"/>
    <col min="9" max="9" width="10.8515625" style="38" bestFit="1" customWidth="1"/>
    <col min="10" max="10" width="1.7109375" style="43" customWidth="1"/>
    <col min="11" max="11" width="12.7109375" style="59" customWidth="1"/>
    <col min="12" max="12" width="1.7109375" style="43" customWidth="1"/>
    <col min="13" max="13" width="14.00390625" style="38" bestFit="1" customWidth="1"/>
    <col min="14" max="14" width="1.7109375" style="43" customWidth="1"/>
    <col min="15" max="15" width="13.421875" style="47" bestFit="1" customWidth="1"/>
    <col min="16" max="16" width="1.7109375" style="43" customWidth="1"/>
    <col min="17" max="17" width="10.57421875" style="38" bestFit="1" customWidth="1"/>
    <col min="18" max="18" width="1.7109375" style="43" customWidth="1"/>
    <col min="19" max="19" width="12.28125" style="47" bestFit="1" customWidth="1"/>
    <col min="20" max="20" width="1.7109375" style="43" customWidth="1"/>
    <col min="21" max="21" width="10.140625" style="38" bestFit="1" customWidth="1"/>
    <col min="22" max="22" width="2.00390625" style="38" customWidth="1"/>
    <col min="23" max="23" width="14.140625" style="47" bestFit="1" customWidth="1"/>
    <col min="24" max="24" width="1.7109375" style="43" customWidth="1"/>
    <col min="25" max="25" width="10.8515625" style="38" bestFit="1" customWidth="1"/>
    <col min="26" max="16384" width="9.140625" style="43" customWidth="1"/>
  </cols>
  <sheetData>
    <row r="1" ht="18">
      <c r="A1" s="53" t="s">
        <v>285</v>
      </c>
    </row>
    <row r="3" spans="1:25" ht="25.5">
      <c r="A3" s="43" t="s">
        <v>301</v>
      </c>
      <c r="C3" s="194" t="s">
        <v>273</v>
      </c>
      <c r="D3" s="194"/>
      <c r="E3" s="194"/>
      <c r="F3" s="55"/>
      <c r="G3" s="194" t="s">
        <v>410</v>
      </c>
      <c r="H3" s="194"/>
      <c r="I3" s="194"/>
      <c r="J3" s="55"/>
      <c r="K3" s="195" t="s">
        <v>356</v>
      </c>
      <c r="L3" s="195"/>
      <c r="M3" s="143" t="s">
        <v>34</v>
      </c>
      <c r="N3" s="55"/>
      <c r="O3" s="194" t="s">
        <v>249</v>
      </c>
      <c r="P3" s="194"/>
      <c r="Q3" s="194"/>
      <c r="R3" s="55"/>
      <c r="S3" s="194" t="s">
        <v>274</v>
      </c>
      <c r="T3" s="194"/>
      <c r="U3" s="194"/>
      <c r="V3" s="110"/>
      <c r="W3" s="194" t="s">
        <v>83</v>
      </c>
      <c r="X3" s="194"/>
      <c r="Y3" s="194"/>
    </row>
    <row r="4" spans="1:25" ht="12.75">
      <c r="A4" s="57" t="s">
        <v>41</v>
      </c>
      <c r="B4" s="57"/>
      <c r="C4" s="80" t="s">
        <v>250</v>
      </c>
      <c r="D4" s="58"/>
      <c r="E4" s="81" t="s">
        <v>84</v>
      </c>
      <c r="F4" s="58"/>
      <c r="G4" s="80" t="s">
        <v>250</v>
      </c>
      <c r="H4" s="58"/>
      <c r="I4" s="81" t="s">
        <v>84</v>
      </c>
      <c r="J4" s="58"/>
      <c r="K4" s="80" t="s">
        <v>250</v>
      </c>
      <c r="L4" s="58"/>
      <c r="M4" s="80" t="s">
        <v>250</v>
      </c>
      <c r="N4" s="58"/>
      <c r="O4" s="80" t="s">
        <v>250</v>
      </c>
      <c r="P4" s="58"/>
      <c r="Q4" s="81" t="s">
        <v>84</v>
      </c>
      <c r="R4" s="58"/>
      <c r="S4" s="80" t="s">
        <v>250</v>
      </c>
      <c r="T4" s="58"/>
      <c r="U4" s="81" t="s">
        <v>84</v>
      </c>
      <c r="V4" s="81"/>
      <c r="W4" s="80" t="s">
        <v>250</v>
      </c>
      <c r="X4" s="58"/>
      <c r="Y4" s="81" t="s">
        <v>84</v>
      </c>
    </row>
    <row r="6" spans="1:25" ht="12.75">
      <c r="A6" s="43" t="s">
        <v>40</v>
      </c>
      <c r="C6" s="47">
        <v>4746090</v>
      </c>
      <c r="E6" s="38">
        <v>4296735</v>
      </c>
      <c r="G6" s="47">
        <v>2309539</v>
      </c>
      <c r="I6" s="38">
        <v>1451223</v>
      </c>
      <c r="K6" s="47">
        <v>523242</v>
      </c>
      <c r="M6" s="47">
        <v>-184720</v>
      </c>
      <c r="O6" s="47">
        <f>W6-S6</f>
        <v>7394151</v>
      </c>
      <c r="Q6" s="38">
        <f>Y6-U6</f>
        <v>5747958</v>
      </c>
      <c r="S6" s="47">
        <v>654651</v>
      </c>
      <c r="U6" s="38">
        <v>1619781</v>
      </c>
      <c r="W6" s="47">
        <f>'Income Statement'!O7</f>
        <v>8048802</v>
      </c>
      <c r="Y6" s="38">
        <f>'Income Statement'!Q7</f>
        <v>7367739</v>
      </c>
    </row>
    <row r="7" spans="1:25" ht="12.75">
      <c r="A7" s="66" t="s">
        <v>77</v>
      </c>
      <c r="C7" s="47">
        <v>3539276</v>
      </c>
      <c r="E7" s="38">
        <v>3212363</v>
      </c>
      <c r="G7" s="47">
        <v>2105518</v>
      </c>
      <c r="I7" s="38">
        <v>1323436</v>
      </c>
      <c r="K7" s="47">
        <v>393968</v>
      </c>
      <c r="M7" s="47">
        <f>M6-M9</f>
        <v>-182220</v>
      </c>
      <c r="O7" s="47">
        <f>W7-S7</f>
        <v>5856542</v>
      </c>
      <c r="Q7" s="38">
        <f>Y7-U7</f>
        <v>4535799</v>
      </c>
      <c r="S7" s="47">
        <f>ROUND(92131*4.8291,0)</f>
        <v>444910</v>
      </c>
      <c r="U7" s="38">
        <f>U6-U9</f>
        <v>1075750</v>
      </c>
      <c r="W7" s="47">
        <f>W6-W9</f>
        <v>6301452</v>
      </c>
      <c r="Y7" s="38">
        <f>Y6-Y9</f>
        <v>5611549</v>
      </c>
    </row>
    <row r="8" spans="3:25" ht="4.5" customHeight="1">
      <c r="C8" s="49"/>
      <c r="E8" s="42"/>
      <c r="G8" s="49"/>
      <c r="I8" s="42"/>
      <c r="K8" s="49"/>
      <c r="M8" s="49"/>
      <c r="O8" s="49"/>
      <c r="Q8" s="42"/>
      <c r="S8" s="49"/>
      <c r="U8" s="42"/>
      <c r="V8" s="51"/>
      <c r="W8" s="49"/>
      <c r="Y8" s="42"/>
    </row>
    <row r="9" spans="1:25" ht="12.75">
      <c r="A9" s="43" t="s">
        <v>150</v>
      </c>
      <c r="C9" s="47">
        <f>O9-K9-G9-M9</f>
        <v>1206814</v>
      </c>
      <c r="E9" s="38">
        <f>Q9-I9</f>
        <v>1084372</v>
      </c>
      <c r="G9" s="47">
        <f>G6-G7</f>
        <v>204021</v>
      </c>
      <c r="I9" s="38">
        <f>I6-I7</f>
        <v>127787</v>
      </c>
      <c r="K9" s="47">
        <f>K6-K7</f>
        <v>129274</v>
      </c>
      <c r="M9" s="47">
        <v>-2500</v>
      </c>
      <c r="O9" s="47">
        <f>O6-O7</f>
        <v>1537609</v>
      </c>
      <c r="Q9" s="38">
        <f>Q6-Q7</f>
        <v>1212159</v>
      </c>
      <c r="S9" s="47">
        <f>S6-S7</f>
        <v>209741</v>
      </c>
      <c r="U9" s="38">
        <v>544031</v>
      </c>
      <c r="W9" s="47">
        <f>'Income Statement'!O10</f>
        <v>1747350</v>
      </c>
      <c r="Y9" s="38">
        <f>'Income Statement'!Q10</f>
        <v>1756190</v>
      </c>
    </row>
    <row r="10" spans="1:25" ht="12.75">
      <c r="A10" s="43" t="s">
        <v>151</v>
      </c>
      <c r="C10" s="47">
        <f>O10-K10-G10-M10</f>
        <v>404513</v>
      </c>
      <c r="E10" s="38">
        <f>Q10-I10</f>
        <v>356719</v>
      </c>
      <c r="G10" s="47">
        <v>61050</v>
      </c>
      <c r="I10" s="38">
        <v>51892</v>
      </c>
      <c r="K10" s="47">
        <v>3477</v>
      </c>
      <c r="M10" s="47"/>
      <c r="O10" s="47">
        <f aca="true" t="shared" si="0" ref="O10:O22">W10-S10</f>
        <v>469040</v>
      </c>
      <c r="Q10" s="38">
        <f aca="true" t="shared" si="1" ref="Q10:Q22">Y10-U10</f>
        <v>408611</v>
      </c>
      <c r="S10" s="47">
        <v>71278</v>
      </c>
      <c r="U10" s="38">
        <v>119650</v>
      </c>
      <c r="W10" s="47">
        <f>'Income Statement'!O11</f>
        <v>540318</v>
      </c>
      <c r="Y10" s="38">
        <f>'Income Statement'!Q11</f>
        <v>528261</v>
      </c>
    </row>
    <row r="11" spans="1:25" ht="12.75">
      <c r="A11" s="43" t="s">
        <v>149</v>
      </c>
      <c r="C11" s="47">
        <f>SUM(C12:C22)</f>
        <v>1538417</v>
      </c>
      <c r="E11" s="38">
        <f>SUM(E12:E22)</f>
        <v>1160714</v>
      </c>
      <c r="G11" s="47">
        <f>SUM(G12:G22)</f>
        <v>199448</v>
      </c>
      <c r="I11" s="38">
        <f>SUM(I12:I22)</f>
        <v>135159</v>
      </c>
      <c r="K11" s="47">
        <f>SUM(K12:K22)</f>
        <v>153369</v>
      </c>
      <c r="M11" s="47"/>
      <c r="O11" s="47">
        <f t="shared" si="0"/>
        <v>1891234</v>
      </c>
      <c r="Q11" s="38">
        <f t="shared" si="1"/>
        <v>1295873</v>
      </c>
      <c r="S11" s="47">
        <f>SUM(S12:S22)</f>
        <v>241318</v>
      </c>
      <c r="U11" s="38">
        <f>SUM(U12:U22)</f>
        <v>606450</v>
      </c>
      <c r="W11" s="47">
        <f>SUM(W12:W22)</f>
        <v>2132552</v>
      </c>
      <c r="Y11" s="38">
        <f>SUM(Y12:Y22)</f>
        <v>1902323</v>
      </c>
    </row>
    <row r="12" spans="1:25" ht="12.75">
      <c r="A12" s="60" t="s">
        <v>210</v>
      </c>
      <c r="C12" s="67">
        <v>91818</v>
      </c>
      <c r="E12" s="41">
        <v>75929</v>
      </c>
      <c r="G12" s="67">
        <v>5299</v>
      </c>
      <c r="I12" s="41">
        <v>3891</v>
      </c>
      <c r="K12" s="67">
        <v>3845</v>
      </c>
      <c r="M12" s="48"/>
      <c r="O12" s="67">
        <f t="shared" si="0"/>
        <v>100962</v>
      </c>
      <c r="Q12" s="41">
        <f t="shared" si="1"/>
        <v>79820</v>
      </c>
      <c r="S12" s="67">
        <v>8059</v>
      </c>
      <c r="U12" s="41">
        <v>23906</v>
      </c>
      <c r="V12" s="51"/>
      <c r="W12" s="67">
        <f>'Income Statement'!O13</f>
        <v>109021</v>
      </c>
      <c r="Y12" s="41">
        <f>'Income Statement'!Q13</f>
        <v>103726</v>
      </c>
    </row>
    <row r="13" spans="1:25" ht="12.75">
      <c r="A13" s="60" t="s">
        <v>78</v>
      </c>
      <c r="C13" s="68">
        <v>207676</v>
      </c>
      <c r="E13" s="23">
        <v>195736</v>
      </c>
      <c r="G13" s="68">
        <v>9981</v>
      </c>
      <c r="I13" s="23">
        <v>6539</v>
      </c>
      <c r="K13" s="68">
        <v>20926</v>
      </c>
      <c r="M13" s="48"/>
      <c r="O13" s="68">
        <f t="shared" si="0"/>
        <v>238583</v>
      </c>
      <c r="Q13" s="23">
        <f t="shared" si="1"/>
        <v>202275</v>
      </c>
      <c r="S13" s="68">
        <f>ROUND(12626*4.8291,0)</f>
        <v>60972</v>
      </c>
      <c r="U13" s="23">
        <v>196600</v>
      </c>
      <c r="V13" s="51"/>
      <c r="W13" s="68">
        <f>'Income Statement'!O14</f>
        <v>299555</v>
      </c>
      <c r="Y13" s="23">
        <f>'Income Statement'!Q14</f>
        <v>398875</v>
      </c>
    </row>
    <row r="14" spans="1:25" ht="12.75">
      <c r="A14" s="60" t="s">
        <v>79</v>
      </c>
      <c r="C14" s="68">
        <v>564910</v>
      </c>
      <c r="E14" s="23">
        <v>506422</v>
      </c>
      <c r="G14" s="68">
        <v>88991</v>
      </c>
      <c r="I14" s="23">
        <v>58888</v>
      </c>
      <c r="K14" s="68">
        <v>68723</v>
      </c>
      <c r="M14" s="48"/>
      <c r="O14" s="68">
        <f t="shared" si="0"/>
        <v>722624</v>
      </c>
      <c r="Q14" s="23">
        <f t="shared" si="1"/>
        <v>565310</v>
      </c>
      <c r="S14" s="68">
        <f>ROUND(22341*4.8291,0)</f>
        <v>107887</v>
      </c>
      <c r="U14" s="23">
        <v>304092</v>
      </c>
      <c r="V14" s="51"/>
      <c r="W14" s="68">
        <f>'Income Statement'!O15</f>
        <v>830511</v>
      </c>
      <c r="Y14" s="23">
        <f>'Income Statement'!Q15</f>
        <v>869402</v>
      </c>
    </row>
    <row r="15" spans="1:25" ht="12.75">
      <c r="A15" s="60" t="s">
        <v>80</v>
      </c>
      <c r="C15" s="68">
        <v>415086</v>
      </c>
      <c r="E15" s="23">
        <v>381940</v>
      </c>
      <c r="G15" s="68">
        <v>85200</v>
      </c>
      <c r="I15" s="23">
        <v>58769</v>
      </c>
      <c r="K15" s="68">
        <v>44783</v>
      </c>
      <c r="M15" s="48"/>
      <c r="O15" s="68">
        <f t="shared" si="0"/>
        <v>545069</v>
      </c>
      <c r="Q15" s="23">
        <f t="shared" si="1"/>
        <v>440709</v>
      </c>
      <c r="S15" s="68">
        <f>39418-361+23438-2019</f>
        <v>60476</v>
      </c>
      <c r="U15" s="23">
        <v>89736</v>
      </c>
      <c r="V15" s="51"/>
      <c r="W15" s="68">
        <f>'Income Statement'!O16</f>
        <v>605545</v>
      </c>
      <c r="Y15" s="23">
        <f>'Income Statement'!Q16</f>
        <v>530445</v>
      </c>
    </row>
    <row r="16" spans="1:25" ht="12.75">
      <c r="A16" s="60" t="s">
        <v>347</v>
      </c>
      <c r="C16" s="68">
        <v>0</v>
      </c>
      <c r="E16" s="23">
        <v>0</v>
      </c>
      <c r="G16" s="68">
        <v>0</v>
      </c>
      <c r="I16" s="23">
        <v>0</v>
      </c>
      <c r="K16" s="68">
        <v>13496</v>
      </c>
      <c r="M16" s="48"/>
      <c r="O16" s="68">
        <f t="shared" si="0"/>
        <v>13496</v>
      </c>
      <c r="Q16" s="23">
        <f t="shared" si="1"/>
        <v>0</v>
      </c>
      <c r="S16" s="68">
        <v>0</v>
      </c>
      <c r="U16" s="23">
        <v>0</v>
      </c>
      <c r="V16" s="51"/>
      <c r="W16" s="68">
        <f>'Income Statement'!O17</f>
        <v>13496</v>
      </c>
      <c r="Y16" s="23">
        <f>'Income Statement'!Q17</f>
        <v>0</v>
      </c>
    </row>
    <row r="17" spans="1:25" s="50" customFormat="1" ht="12.75">
      <c r="A17" s="60" t="s">
        <v>223</v>
      </c>
      <c r="C17" s="68">
        <v>0</v>
      </c>
      <c r="E17" s="23">
        <v>0</v>
      </c>
      <c r="G17" s="68">
        <v>0</v>
      </c>
      <c r="I17" s="23">
        <v>0</v>
      </c>
      <c r="K17" s="68">
        <v>0</v>
      </c>
      <c r="M17" s="48"/>
      <c r="O17" s="68">
        <f t="shared" si="0"/>
        <v>0</v>
      </c>
      <c r="Q17" s="23">
        <f t="shared" si="1"/>
        <v>0</v>
      </c>
      <c r="S17" s="68">
        <v>0</v>
      </c>
      <c r="U17" s="23">
        <f>'Income Statement'!K18</f>
        <v>-26454</v>
      </c>
      <c r="V17" s="51"/>
      <c r="W17" s="68">
        <f>'Income Statement'!O18</f>
        <v>0</v>
      </c>
      <c r="Y17" s="23">
        <f>'Income Statement'!Q18</f>
        <v>-26454</v>
      </c>
    </row>
    <row r="18" spans="1:25" s="50" customFormat="1" ht="12.75">
      <c r="A18" s="60" t="s">
        <v>226</v>
      </c>
      <c r="C18" s="68">
        <v>0</v>
      </c>
      <c r="E18" s="23">
        <v>0</v>
      </c>
      <c r="G18" s="68">
        <v>0</v>
      </c>
      <c r="I18" s="23">
        <v>0</v>
      </c>
      <c r="K18" s="68">
        <v>0</v>
      </c>
      <c r="M18" s="48"/>
      <c r="O18" s="68">
        <f t="shared" si="0"/>
        <v>0</v>
      </c>
      <c r="Q18" s="23">
        <f t="shared" si="1"/>
        <v>0</v>
      </c>
      <c r="S18" s="68">
        <f>'Income Statement'!I19</f>
        <v>-1738</v>
      </c>
      <c r="U18" s="23">
        <f>'Income Statement'!K19</f>
        <v>0</v>
      </c>
      <c r="V18" s="51"/>
      <c r="W18" s="68">
        <f>'Income Statement'!O19</f>
        <v>-1738</v>
      </c>
      <c r="Y18" s="23">
        <f>'Income Statement'!Q19</f>
        <v>0</v>
      </c>
    </row>
    <row r="19" spans="1:25" s="50" customFormat="1" ht="12.75">
      <c r="A19" s="60" t="s">
        <v>251</v>
      </c>
      <c r="C19" s="68">
        <v>-587</v>
      </c>
      <c r="E19" s="23">
        <v>0</v>
      </c>
      <c r="G19" s="68">
        <v>0</v>
      </c>
      <c r="I19" s="23">
        <v>0</v>
      </c>
      <c r="K19" s="68">
        <v>0</v>
      </c>
      <c r="M19" s="48"/>
      <c r="O19" s="68">
        <f t="shared" si="0"/>
        <v>-587</v>
      </c>
      <c r="Q19" s="23">
        <f t="shared" si="1"/>
        <v>0</v>
      </c>
      <c r="S19" s="68">
        <v>0</v>
      </c>
      <c r="U19" s="23">
        <f>'Income Statement'!K20</f>
        <v>0</v>
      </c>
      <c r="V19" s="51"/>
      <c r="W19" s="68">
        <f>'Income Statement'!O20</f>
        <v>-587</v>
      </c>
      <c r="Y19" s="23">
        <f>'Income Statement'!Q20</f>
        <v>0</v>
      </c>
    </row>
    <row r="20" spans="1:25" s="50" customFormat="1" ht="12.75">
      <c r="A20" s="60" t="s">
        <v>33</v>
      </c>
      <c r="C20" s="68">
        <v>422</v>
      </c>
      <c r="E20" s="23">
        <v>141</v>
      </c>
      <c r="G20" s="68">
        <v>-98</v>
      </c>
      <c r="I20" s="23">
        <v>0</v>
      </c>
      <c r="K20" s="68">
        <v>1596</v>
      </c>
      <c r="M20" s="48"/>
      <c r="O20" s="68">
        <f t="shared" si="0"/>
        <v>1920</v>
      </c>
      <c r="Q20" s="23">
        <f t="shared" si="1"/>
        <v>141</v>
      </c>
      <c r="S20" s="68">
        <f>'Income Statement'!I21</f>
        <v>361</v>
      </c>
      <c r="U20" s="23">
        <f>'Income Statement'!K21</f>
        <v>2469</v>
      </c>
      <c r="V20" s="51"/>
      <c r="W20" s="68">
        <f>'Income Statement'!O21</f>
        <v>2281</v>
      </c>
      <c r="Y20" s="23">
        <f>'Income Statement'!Q21</f>
        <v>2610</v>
      </c>
    </row>
    <row r="21" spans="1:25" s="50" customFormat="1" ht="12.75">
      <c r="A21" s="60" t="s">
        <v>225</v>
      </c>
      <c r="C21" s="68">
        <v>896</v>
      </c>
      <c r="E21" s="23">
        <v>546</v>
      </c>
      <c r="G21" s="68">
        <v>10075</v>
      </c>
      <c r="I21" s="23">
        <v>7072</v>
      </c>
      <c r="K21" s="68">
        <v>0</v>
      </c>
      <c r="M21" s="48"/>
      <c r="O21" s="68">
        <f t="shared" si="0"/>
        <v>10971</v>
      </c>
      <c r="Q21" s="23">
        <f t="shared" si="1"/>
        <v>7618</v>
      </c>
      <c r="S21" s="68">
        <f>'Income Statement'!I22</f>
        <v>5301</v>
      </c>
      <c r="U21" s="23">
        <f>'Income Statement'!K22</f>
        <v>16101</v>
      </c>
      <c r="V21" s="51"/>
      <c r="W21" s="68">
        <f>'Income Statement'!O22</f>
        <v>16272</v>
      </c>
      <c r="Y21" s="23">
        <f>'Income Statement'!Q22</f>
        <v>23719</v>
      </c>
    </row>
    <row r="22" spans="1:25" s="50" customFormat="1" ht="12.75">
      <c r="A22" s="60" t="s">
        <v>305</v>
      </c>
      <c r="C22" s="69">
        <v>258196</v>
      </c>
      <c r="E22" s="24">
        <v>0</v>
      </c>
      <c r="G22" s="69">
        <v>0</v>
      </c>
      <c r="I22" s="24">
        <v>0</v>
      </c>
      <c r="K22" s="68">
        <v>0</v>
      </c>
      <c r="M22" s="48"/>
      <c r="O22" s="69">
        <f t="shared" si="0"/>
        <v>258196</v>
      </c>
      <c r="Q22" s="24">
        <f t="shared" si="1"/>
        <v>0</v>
      </c>
      <c r="S22" s="69">
        <v>0</v>
      </c>
      <c r="U22" s="24">
        <f>'Income Statement'!K23</f>
        <v>0</v>
      </c>
      <c r="V22" s="51"/>
      <c r="W22" s="69">
        <f>'Income Statement'!O23</f>
        <v>258196</v>
      </c>
      <c r="Y22" s="24">
        <f>'Income Statement'!Q23</f>
        <v>0</v>
      </c>
    </row>
    <row r="23" spans="3:25" ht="4.5" customHeight="1">
      <c r="C23" s="49"/>
      <c r="E23" s="42"/>
      <c r="G23" s="49"/>
      <c r="I23" s="42"/>
      <c r="K23" s="69"/>
      <c r="M23" s="49"/>
      <c r="O23" s="49"/>
      <c r="Q23" s="42"/>
      <c r="S23" s="49"/>
      <c r="U23" s="42"/>
      <c r="V23" s="51"/>
      <c r="W23" s="49"/>
      <c r="Y23" s="42"/>
    </row>
    <row r="24" spans="1:25" ht="12.75">
      <c r="A24" s="43" t="s">
        <v>42</v>
      </c>
      <c r="C24" s="47">
        <f>O24-K24-G24-M24</f>
        <v>72910</v>
      </c>
      <c r="E24" s="38">
        <f>E9+E10-E11</f>
        <v>280377</v>
      </c>
      <c r="G24" s="47">
        <f>G9+G10-G11</f>
        <v>65623</v>
      </c>
      <c r="I24" s="38">
        <f>I9+I10-I11</f>
        <v>44520</v>
      </c>
      <c r="K24" s="47">
        <f>K9+K10-K11</f>
        <v>-20618</v>
      </c>
      <c r="M24" s="47">
        <f>M9+M10-M11</f>
        <v>-2500</v>
      </c>
      <c r="O24" s="47">
        <f>O9+O10-O11</f>
        <v>115415</v>
      </c>
      <c r="Q24" s="38">
        <f>Q9+Q10-Q11</f>
        <v>324897</v>
      </c>
      <c r="S24" s="47">
        <f>S9+S10-S11</f>
        <v>39701</v>
      </c>
      <c r="U24" s="38">
        <f>U9+U10-U11</f>
        <v>57231</v>
      </c>
      <c r="W24" s="47">
        <f>W9+W10-W11</f>
        <v>155116</v>
      </c>
      <c r="Y24" s="38">
        <f>Y9+Y10-Y11</f>
        <v>382128</v>
      </c>
    </row>
    <row r="25" spans="1:25" ht="12.75">
      <c r="A25" s="43" t="s">
        <v>335</v>
      </c>
      <c r="C25" s="47">
        <f>SUM(C26:C28)</f>
        <v>-27503</v>
      </c>
      <c r="E25" s="38">
        <f>SUM(E26:E28)</f>
        <v>-61359</v>
      </c>
      <c r="G25" s="47">
        <f>SUM(G26:G28)</f>
        <v>-26998</v>
      </c>
      <c r="I25" s="38">
        <f>SUM(I26:I28)</f>
        <v>3909</v>
      </c>
      <c r="K25" s="47">
        <f>SUM(K26:K28)</f>
        <v>40</v>
      </c>
      <c r="M25" s="48"/>
      <c r="O25" s="47">
        <f>SUM(O26:O28)</f>
        <v>-54461</v>
      </c>
      <c r="Q25" s="38">
        <f>SUM(Q26:Q28)</f>
        <v>-57450</v>
      </c>
      <c r="S25" s="47">
        <f>SUM(S26:S28)</f>
        <v>-5317</v>
      </c>
      <c r="U25" s="38">
        <f>SUM(U26:U28)</f>
        <v>-26667</v>
      </c>
      <c r="W25" s="47">
        <f>SUM(W26:W28)</f>
        <v>-59778</v>
      </c>
      <c r="Y25" s="38">
        <f>SUM(Y26:Y28)</f>
        <v>-84117</v>
      </c>
    </row>
    <row r="26" spans="1:25" ht="12.75">
      <c r="A26" s="60" t="s">
        <v>32</v>
      </c>
      <c r="C26" s="67">
        <v>-27503</v>
      </c>
      <c r="E26" s="41">
        <v>-61359</v>
      </c>
      <c r="G26" s="67">
        <v>-26998</v>
      </c>
      <c r="I26" s="41">
        <v>3909</v>
      </c>
      <c r="K26" s="67">
        <v>40</v>
      </c>
      <c r="M26" s="48"/>
      <c r="O26" s="67">
        <f>W26-S26</f>
        <v>-54461</v>
      </c>
      <c r="Q26" s="41">
        <f>Y26-U26</f>
        <v>-57450</v>
      </c>
      <c r="S26" s="67">
        <v>-5317</v>
      </c>
      <c r="U26" s="41">
        <f>'Income Statement'!K27</f>
        <v>-26667</v>
      </c>
      <c r="V26" s="51"/>
      <c r="W26" s="67">
        <f>'Income Statement'!O27</f>
        <v>-59778</v>
      </c>
      <c r="Y26" s="41">
        <f>'Income Statement'!Q27</f>
        <v>-84117</v>
      </c>
    </row>
    <row r="27" spans="1:25" ht="12.75">
      <c r="A27" s="60" t="s">
        <v>222</v>
      </c>
      <c r="C27" s="68">
        <v>24986</v>
      </c>
      <c r="E27" s="23">
        <v>59265</v>
      </c>
      <c r="G27" s="68">
        <v>0</v>
      </c>
      <c r="I27" s="23">
        <v>0</v>
      </c>
      <c r="K27" s="68">
        <v>0</v>
      </c>
      <c r="M27" s="48"/>
      <c r="O27" s="68">
        <f>W27-S27</f>
        <v>24986</v>
      </c>
      <c r="Q27" s="23">
        <f>Y27-U27</f>
        <v>59265</v>
      </c>
      <c r="S27" s="68">
        <v>0</v>
      </c>
      <c r="U27" s="23">
        <v>0</v>
      </c>
      <c r="V27" s="51"/>
      <c r="W27" s="68">
        <f>'Income Statement'!O28</f>
        <v>24986</v>
      </c>
      <c r="Y27" s="23">
        <f>'Income Statement'!Q28</f>
        <v>59265</v>
      </c>
    </row>
    <row r="28" spans="1:25" ht="12.75">
      <c r="A28" s="60" t="s">
        <v>81</v>
      </c>
      <c r="C28" s="69">
        <v>-24986</v>
      </c>
      <c r="E28" s="24">
        <v>-59265</v>
      </c>
      <c r="G28" s="69">
        <v>0</v>
      </c>
      <c r="I28" s="24">
        <v>0</v>
      </c>
      <c r="K28" s="69">
        <v>0</v>
      </c>
      <c r="M28" s="48"/>
      <c r="O28" s="69">
        <f>W28-S28</f>
        <v>-24986</v>
      </c>
      <c r="Q28" s="24">
        <f>Y28-U28</f>
        <v>-59265</v>
      </c>
      <c r="S28" s="69">
        <v>0</v>
      </c>
      <c r="U28" s="24">
        <v>0</v>
      </c>
      <c r="V28" s="51"/>
      <c r="W28" s="69">
        <f>'Income Statement'!O29</f>
        <v>-24986</v>
      </c>
      <c r="Y28" s="24">
        <f>'Income Statement'!Q29</f>
        <v>-59265</v>
      </c>
    </row>
    <row r="29" spans="3:25" ht="4.5" customHeight="1">
      <c r="C29" s="49"/>
      <c r="E29" s="42"/>
      <c r="G29" s="49"/>
      <c r="I29" s="42"/>
      <c r="K29" s="49"/>
      <c r="M29" s="49"/>
      <c r="O29" s="49"/>
      <c r="Q29" s="42"/>
      <c r="S29" s="49"/>
      <c r="U29" s="42"/>
      <c r="V29" s="51"/>
      <c r="W29" s="49"/>
      <c r="Y29" s="42"/>
    </row>
    <row r="30" spans="1:25" ht="12.75">
      <c r="A30" s="43" t="s">
        <v>82</v>
      </c>
      <c r="C30" s="47">
        <f>O30-K30-G30-M30</f>
        <v>45407</v>
      </c>
      <c r="E30" s="38">
        <f>E24+E25</f>
        <v>219018</v>
      </c>
      <c r="G30" s="47">
        <f>G24+G25</f>
        <v>38625</v>
      </c>
      <c r="I30" s="38">
        <f>I24+I25</f>
        <v>48429</v>
      </c>
      <c r="K30" s="47">
        <f>K24+K25</f>
        <v>-20578</v>
      </c>
      <c r="M30" s="47">
        <f>M24+M25</f>
        <v>-2500</v>
      </c>
      <c r="O30" s="47">
        <f>O24+O25</f>
        <v>60954</v>
      </c>
      <c r="Q30" s="38">
        <f>Q24+Q25</f>
        <v>267447</v>
      </c>
      <c r="S30" s="47">
        <f>S24+S25</f>
        <v>34384</v>
      </c>
      <c r="U30" s="38">
        <f>U24+U25</f>
        <v>30564</v>
      </c>
      <c r="W30" s="47">
        <f>W24+W25</f>
        <v>95338</v>
      </c>
      <c r="Y30" s="38">
        <f>Y24+Y25</f>
        <v>298011</v>
      </c>
    </row>
    <row r="31" spans="1:25" ht="12.75">
      <c r="A31" s="43" t="s">
        <v>85</v>
      </c>
      <c r="C31" s="47">
        <v>78913</v>
      </c>
      <c r="E31" s="38">
        <v>51980</v>
      </c>
      <c r="G31" s="47">
        <v>14691</v>
      </c>
      <c r="I31" s="38">
        <v>16431</v>
      </c>
      <c r="K31" s="47">
        <v>0</v>
      </c>
      <c r="M31" s="48"/>
      <c r="O31" s="47">
        <f>W31-S31</f>
        <v>93604</v>
      </c>
      <c r="Q31" s="38">
        <f>Y31-U31</f>
        <v>68411</v>
      </c>
      <c r="S31" s="47">
        <f>'Income Statement'!I32</f>
        <v>14287</v>
      </c>
      <c r="U31" s="38">
        <f>'Income Statement'!K32</f>
        <v>15332</v>
      </c>
      <c r="W31" s="48">
        <f>'Income Statement'!O32</f>
        <v>107891</v>
      </c>
      <c r="Y31" s="38">
        <f>'Income Statement'!Q32</f>
        <v>83743</v>
      </c>
    </row>
    <row r="32" spans="3:25" ht="4.5" customHeight="1">
      <c r="C32" s="49"/>
      <c r="E32" s="42"/>
      <c r="G32" s="49"/>
      <c r="I32" s="42"/>
      <c r="K32" s="49"/>
      <c r="M32" s="49"/>
      <c r="O32" s="49"/>
      <c r="Q32" s="42"/>
      <c r="S32" s="49"/>
      <c r="U32" s="42"/>
      <c r="V32" s="51"/>
      <c r="W32" s="49"/>
      <c r="Y32" s="42"/>
    </row>
    <row r="33" spans="1:25" ht="12.75">
      <c r="A33" s="43" t="s">
        <v>401</v>
      </c>
      <c r="C33" s="47">
        <f>C30-C31</f>
        <v>-33506</v>
      </c>
      <c r="E33" s="38">
        <f>E30-E31</f>
        <v>167038</v>
      </c>
      <c r="G33" s="47">
        <f>G30-G31</f>
        <v>23934</v>
      </c>
      <c r="I33" s="38">
        <f>I30-I31</f>
        <v>31998</v>
      </c>
      <c r="K33" s="47">
        <f>K30-K31</f>
        <v>-20578</v>
      </c>
      <c r="M33" s="47">
        <f>M30-M31</f>
        <v>-2500</v>
      </c>
      <c r="O33" s="47">
        <f>O30-O31</f>
        <v>-32650</v>
      </c>
      <c r="Q33" s="38">
        <f>Q30-Q31</f>
        <v>199036</v>
      </c>
      <c r="S33" s="47">
        <f>S30-S31</f>
        <v>20097</v>
      </c>
      <c r="U33" s="38">
        <f>U30-U31</f>
        <v>15232</v>
      </c>
      <c r="W33" s="47">
        <f>W30-W31</f>
        <v>-12553</v>
      </c>
      <c r="Y33" s="38">
        <f>Y30-Y31</f>
        <v>214268</v>
      </c>
    </row>
    <row r="34" spans="3:25" ht="4.5" customHeight="1" thickBot="1">
      <c r="C34" s="72"/>
      <c r="E34" s="73"/>
      <c r="G34" s="72"/>
      <c r="I34" s="73"/>
      <c r="K34" s="72"/>
      <c r="M34" s="72"/>
      <c r="O34" s="72"/>
      <c r="Q34" s="73"/>
      <c r="S34" s="72"/>
      <c r="U34" s="73"/>
      <c r="V34" s="51"/>
      <c r="W34" s="72"/>
      <c r="Y34" s="73"/>
    </row>
    <row r="35" spans="11:13" ht="12.75">
      <c r="K35" s="47"/>
      <c r="M35" s="48"/>
    </row>
    <row r="36" spans="1:13" ht="12.75">
      <c r="A36" s="43" t="s">
        <v>297</v>
      </c>
      <c r="K36" s="47"/>
      <c r="M36" s="48"/>
    </row>
    <row r="37" spans="1:25" ht="12.75">
      <c r="A37" s="60" t="s">
        <v>347</v>
      </c>
      <c r="C37" s="47">
        <f>C16*0.7</f>
        <v>0</v>
      </c>
      <c r="D37" s="47"/>
      <c r="E37" s="38">
        <f>E16*0.7</f>
        <v>0</v>
      </c>
      <c r="F37" s="47"/>
      <c r="G37" s="47">
        <f>G16*0.7</f>
        <v>0</v>
      </c>
      <c r="H37" s="47"/>
      <c r="I37" s="38">
        <f>I16*0.7</f>
        <v>0</v>
      </c>
      <c r="J37" s="47"/>
      <c r="K37" s="47">
        <f>K16*0.7</f>
        <v>9447.199999999999</v>
      </c>
      <c r="L37" s="47"/>
      <c r="M37" s="47"/>
      <c r="N37" s="47"/>
      <c r="O37" s="47">
        <f>O16*0.7</f>
        <v>9447.199999999999</v>
      </c>
      <c r="P37" s="47"/>
      <c r="Q37" s="38">
        <f>Q16*0.7</f>
        <v>0</v>
      </c>
      <c r="R37" s="47"/>
      <c r="S37" s="47">
        <f>S16*0.7</f>
        <v>0</v>
      </c>
      <c r="T37" s="47"/>
      <c r="U37" s="38">
        <f>U16*0.7</f>
        <v>0</v>
      </c>
      <c r="W37" s="47">
        <f>O37+S37</f>
        <v>9447.199999999999</v>
      </c>
      <c r="Y37" s="38">
        <f>Q37+U37</f>
        <v>0</v>
      </c>
    </row>
    <row r="38" spans="1:25" ht="12.75">
      <c r="A38" s="60" t="s">
        <v>223</v>
      </c>
      <c r="C38" s="47">
        <f>C17*0.7</f>
        <v>0</v>
      </c>
      <c r="D38" s="47"/>
      <c r="E38" s="38">
        <f>E17*0.7</f>
        <v>0</v>
      </c>
      <c r="F38" s="47"/>
      <c r="G38" s="47">
        <f>G17*0.7</f>
        <v>0</v>
      </c>
      <c r="H38" s="47"/>
      <c r="I38" s="38">
        <f>I17*0.7</f>
        <v>0</v>
      </c>
      <c r="J38" s="47"/>
      <c r="K38" s="47">
        <f>K17*0.7</f>
        <v>0</v>
      </c>
      <c r="L38" s="47"/>
      <c r="M38" s="47"/>
      <c r="N38" s="47"/>
      <c r="O38" s="47">
        <f>O17*0.7</f>
        <v>0</v>
      </c>
      <c r="P38" s="47"/>
      <c r="Q38" s="38">
        <f>Q17*0.7</f>
        <v>0</v>
      </c>
      <c r="R38" s="47"/>
      <c r="S38" s="47">
        <f>S17*0.7</f>
        <v>0</v>
      </c>
      <c r="T38" s="47"/>
      <c r="U38" s="38">
        <f>U17*0.7</f>
        <v>-18517.8</v>
      </c>
      <c r="W38" s="47">
        <f aca="true" t="shared" si="2" ref="W38:W43">O38+S38</f>
        <v>0</v>
      </c>
      <c r="Y38" s="38">
        <f aca="true" t="shared" si="3" ref="Y38:Y43">Q38+U38</f>
        <v>-18517.8</v>
      </c>
    </row>
    <row r="39" spans="1:25" ht="12.75">
      <c r="A39" s="60" t="s">
        <v>226</v>
      </c>
      <c r="C39" s="47">
        <v>0</v>
      </c>
      <c r="D39" s="47"/>
      <c r="E39" s="38">
        <v>0</v>
      </c>
      <c r="F39" s="47"/>
      <c r="G39" s="47">
        <v>0</v>
      </c>
      <c r="H39" s="47"/>
      <c r="I39" s="38">
        <v>0</v>
      </c>
      <c r="J39" s="47"/>
      <c r="K39" s="47">
        <v>0</v>
      </c>
      <c r="L39" s="47"/>
      <c r="M39" s="47"/>
      <c r="N39" s="47"/>
      <c r="O39" s="47">
        <v>0</v>
      </c>
      <c r="P39" s="47"/>
      <c r="Q39" s="38">
        <v>0</v>
      </c>
      <c r="R39" s="47"/>
      <c r="S39" s="47">
        <f>S18</f>
        <v>-1738</v>
      </c>
      <c r="T39" s="47"/>
      <c r="U39" s="38">
        <v>0</v>
      </c>
      <c r="W39" s="47">
        <f>O39+S39</f>
        <v>-1738</v>
      </c>
      <c r="Y39" s="38">
        <f t="shared" si="3"/>
        <v>0</v>
      </c>
    </row>
    <row r="40" spans="1:25" ht="12.75">
      <c r="A40" s="60" t="s">
        <v>251</v>
      </c>
      <c r="C40" s="47">
        <f>C19</f>
        <v>-587</v>
      </c>
      <c r="D40" s="47"/>
      <c r="E40" s="38">
        <f>E19</f>
        <v>0</v>
      </c>
      <c r="F40" s="47"/>
      <c r="G40" s="47">
        <f>G19</f>
        <v>0</v>
      </c>
      <c r="H40" s="47"/>
      <c r="I40" s="38">
        <f>I19</f>
        <v>0</v>
      </c>
      <c r="J40" s="47"/>
      <c r="K40" s="47">
        <f>K19</f>
        <v>0</v>
      </c>
      <c r="L40" s="47"/>
      <c r="M40" s="47"/>
      <c r="N40" s="47"/>
      <c r="O40" s="47">
        <f>O19</f>
        <v>-587</v>
      </c>
      <c r="P40" s="47"/>
      <c r="Q40" s="38">
        <f>Q19</f>
        <v>0</v>
      </c>
      <c r="R40" s="47"/>
      <c r="S40" s="47">
        <f>S19</f>
        <v>0</v>
      </c>
      <c r="T40" s="47"/>
      <c r="U40" s="38">
        <f>U19</f>
        <v>0</v>
      </c>
      <c r="W40" s="47">
        <f t="shared" si="2"/>
        <v>-587</v>
      </c>
      <c r="Y40" s="38">
        <f t="shared" si="3"/>
        <v>0</v>
      </c>
    </row>
    <row r="41" spans="1:25" ht="12.75">
      <c r="A41" s="60" t="s">
        <v>33</v>
      </c>
      <c r="C41" s="47">
        <f>C20*0.7</f>
        <v>295.4</v>
      </c>
      <c r="D41" s="47"/>
      <c r="E41" s="38">
        <f>E20*0.7</f>
        <v>98.69999999999999</v>
      </c>
      <c r="F41" s="47"/>
      <c r="G41" s="47">
        <f>ROUND(G20*0.7,0)+1</f>
        <v>-68</v>
      </c>
      <c r="H41" s="47"/>
      <c r="I41" s="38">
        <f>I20*0.7</f>
        <v>0</v>
      </c>
      <c r="J41" s="47"/>
      <c r="K41" s="47">
        <f>K20*0.7</f>
        <v>1117.1999999999998</v>
      </c>
      <c r="L41" s="47"/>
      <c r="M41" s="47"/>
      <c r="N41" s="47"/>
      <c r="O41" s="47">
        <f>O20*0.7</f>
        <v>1344</v>
      </c>
      <c r="P41" s="47"/>
      <c r="Q41" s="38">
        <f>Q20*0.7</f>
        <v>98.69999999999999</v>
      </c>
      <c r="R41" s="47"/>
      <c r="S41" s="47">
        <f>S20*0.7</f>
        <v>252.7</v>
      </c>
      <c r="T41" s="47"/>
      <c r="U41" s="38">
        <f>U20*0.7</f>
        <v>1728.3</v>
      </c>
      <c r="W41" s="47">
        <f t="shared" si="2"/>
        <v>1596.7</v>
      </c>
      <c r="Y41" s="38">
        <f t="shared" si="3"/>
        <v>1827</v>
      </c>
    </row>
    <row r="42" spans="1:25" ht="12.75">
      <c r="A42" s="60" t="s">
        <v>225</v>
      </c>
      <c r="C42" s="47">
        <f>C21</f>
        <v>896</v>
      </c>
      <c r="D42" s="47"/>
      <c r="E42" s="38">
        <f>E21</f>
        <v>546</v>
      </c>
      <c r="F42" s="47"/>
      <c r="G42" s="47">
        <f>G21</f>
        <v>10075</v>
      </c>
      <c r="H42" s="47"/>
      <c r="I42" s="38">
        <f>I21</f>
        <v>7072</v>
      </c>
      <c r="J42" s="47"/>
      <c r="K42" s="47">
        <f>K21</f>
        <v>0</v>
      </c>
      <c r="L42" s="47"/>
      <c r="M42" s="47"/>
      <c r="N42" s="47"/>
      <c r="O42" s="47">
        <f>O21</f>
        <v>10971</v>
      </c>
      <c r="P42" s="47"/>
      <c r="Q42" s="38">
        <f>Q21</f>
        <v>7618</v>
      </c>
      <c r="R42" s="47"/>
      <c r="S42" s="47">
        <f>S21</f>
        <v>5301</v>
      </c>
      <c r="T42" s="47"/>
      <c r="U42" s="38">
        <f>U21</f>
        <v>16101</v>
      </c>
      <c r="W42" s="47">
        <f t="shared" si="2"/>
        <v>16272</v>
      </c>
      <c r="Y42" s="38">
        <f t="shared" si="3"/>
        <v>23719</v>
      </c>
    </row>
    <row r="43" spans="1:25" ht="12.75">
      <c r="A43" s="60" t="s">
        <v>305</v>
      </c>
      <c r="C43" s="47">
        <f>C22</f>
        <v>258196</v>
      </c>
      <c r="D43" s="47"/>
      <c r="E43" s="38">
        <f>E22</f>
        <v>0</v>
      </c>
      <c r="F43" s="47"/>
      <c r="G43" s="47">
        <f>G22</f>
        <v>0</v>
      </c>
      <c r="H43" s="47"/>
      <c r="I43" s="38">
        <f>I22</f>
        <v>0</v>
      </c>
      <c r="J43" s="47"/>
      <c r="K43" s="47">
        <f>K22</f>
        <v>0</v>
      </c>
      <c r="L43" s="47"/>
      <c r="M43" s="47"/>
      <c r="N43" s="47"/>
      <c r="O43" s="47">
        <f>O22</f>
        <v>258196</v>
      </c>
      <c r="P43" s="47"/>
      <c r="Q43" s="38">
        <f>Q22</f>
        <v>0</v>
      </c>
      <c r="R43" s="47"/>
      <c r="S43" s="47">
        <f>S22</f>
        <v>0</v>
      </c>
      <c r="T43" s="47"/>
      <c r="U43" s="38">
        <f>U22</f>
        <v>0</v>
      </c>
      <c r="W43" s="47">
        <f t="shared" si="2"/>
        <v>258196</v>
      </c>
      <c r="Y43" s="38">
        <f t="shared" si="3"/>
        <v>0</v>
      </c>
    </row>
    <row r="44" spans="3:25" ht="4.5" customHeight="1">
      <c r="C44" s="49"/>
      <c r="E44" s="42"/>
      <c r="G44" s="49"/>
      <c r="I44" s="42"/>
      <c r="K44" s="49"/>
      <c r="M44" s="49"/>
      <c r="O44" s="49"/>
      <c r="Q44" s="42"/>
      <c r="S44" s="49"/>
      <c r="U44" s="42"/>
      <c r="V44" s="51"/>
      <c r="W44" s="49"/>
      <c r="Y44" s="42"/>
    </row>
    <row r="45" spans="1:25" ht="12.75">
      <c r="A45" s="43" t="s">
        <v>43</v>
      </c>
      <c r="C45" s="47">
        <f>SUM(C33:C44)</f>
        <v>225294.4</v>
      </c>
      <c r="E45" s="38">
        <f>SUM(E33:E44)</f>
        <v>167682.7</v>
      </c>
      <c r="G45" s="47">
        <f>SUM(G33:G44)</f>
        <v>33941</v>
      </c>
      <c r="I45" s="38">
        <f>SUM(I33:I44)</f>
        <v>39070</v>
      </c>
      <c r="K45" s="47">
        <f>SUM(K33:K44)</f>
        <v>-10013.600000000002</v>
      </c>
      <c r="M45" s="47">
        <f>SUM(M33:M44)</f>
        <v>-2500</v>
      </c>
      <c r="O45" s="47">
        <f>SUM(O33:O44)</f>
        <v>246721.2</v>
      </c>
      <c r="Q45" s="38">
        <f>SUM(Q33:Q44)</f>
        <v>206752.7</v>
      </c>
      <c r="S45" s="47">
        <f>SUM(S33:S44)</f>
        <v>23912.7</v>
      </c>
      <c r="U45" s="38">
        <f>SUM(U33:U44)-1</f>
        <v>14542.5</v>
      </c>
      <c r="W45" s="47">
        <f>SUM(W33:W44)</f>
        <v>270633.9</v>
      </c>
      <c r="Y45" s="38">
        <f>SUM(Y33:Y44)</f>
        <v>221296.2</v>
      </c>
    </row>
    <row r="46" spans="3:25" ht="4.5" customHeight="1" thickBot="1">
      <c r="C46" s="72"/>
      <c r="E46" s="73"/>
      <c r="G46" s="72"/>
      <c r="I46" s="73"/>
      <c r="K46" s="72"/>
      <c r="M46" s="72"/>
      <c r="O46" s="72"/>
      <c r="Q46" s="73"/>
      <c r="S46" s="72"/>
      <c r="U46" s="73"/>
      <c r="V46" s="51"/>
      <c r="W46" s="72"/>
      <c r="Y46" s="73"/>
    </row>
    <row r="47" ht="12.75">
      <c r="M47" s="59"/>
    </row>
    <row r="48" spans="5:25" ht="12.75">
      <c r="E48" s="51"/>
      <c r="I48" s="51"/>
      <c r="M48" s="51"/>
      <c r="Q48" s="51"/>
      <c r="U48" s="51"/>
      <c r="V48" s="51"/>
      <c r="Y48" s="51"/>
    </row>
    <row r="49" spans="5:25" ht="12.75">
      <c r="E49" s="51"/>
      <c r="I49" s="51"/>
      <c r="M49" s="51"/>
      <c r="Q49" s="51"/>
      <c r="U49" s="51"/>
      <c r="V49" s="51"/>
      <c r="Y49" s="51"/>
    </row>
  </sheetData>
  <mergeCells count="6">
    <mergeCell ref="C3:E3"/>
    <mergeCell ref="G3:I3"/>
    <mergeCell ref="K3:L3"/>
    <mergeCell ref="W3:Y3"/>
    <mergeCell ref="O3:Q3"/>
    <mergeCell ref="S3:U3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SHemp</cp:lastModifiedBy>
  <cp:lastPrinted>2004-10-20T10:50:58Z</cp:lastPrinted>
  <dcterms:created xsi:type="dcterms:W3CDTF">2003-03-25T05:09:28Z</dcterms:created>
  <dcterms:modified xsi:type="dcterms:W3CDTF">2004-10-20T12:22:08Z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-1004065342</vt:i4>
  </property>
  <property fmtid="{D5CDD505-2E9C-101B-9397-08002B2CF9AE}" pid="3" name="_EmailSubject">
    <vt:lpwstr>Additional files for online results</vt:lpwstr>
  </property>
  <property fmtid="{D5CDD505-2E9C-101B-9397-08002B2CF9AE}" pid="4" name="_AuthorEmail">
    <vt:lpwstr>sue@tier1ir.co.za</vt:lpwstr>
  </property>
  <property fmtid="{D5CDD505-2E9C-101B-9397-08002B2CF9AE}" pid="5" name="_AuthorEmailDisplayName">
    <vt:lpwstr>Sue Hemp</vt:lpwstr>
  </property>
  <property fmtid="{D5CDD505-2E9C-101B-9397-08002B2CF9AE}" pid="6" name="_PreviousAdHocReviewCycleID">
    <vt:i4>-883748834</vt:i4>
  </property>
</Properties>
</file>